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t5F3BBeoHQlhplKGuBS15ZjWTdka9k9fnZK6j8SIwT/ARafK4lMR5fXbxXcHB30jLQUY+0A/gCQYF2xnPL/byw==" workbookSaltValue="L6RI0cbWX2dEW2mnvWnz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I32" i="20"/>
  <c r="Q32" i="20"/>
  <c r="AE32" i="20"/>
  <c r="AZ32" i="20"/>
  <c r="W32" i="20"/>
  <c r="AJ32" i="20"/>
  <c r="G30" i="14"/>
  <c r="G23" i="14"/>
  <c r="U18" i="11"/>
  <c r="AX32" i="20"/>
  <c r="Y32" i="20"/>
  <c r="L32" i="20"/>
  <c r="AG32" i="20"/>
  <c r="H32" i="20"/>
  <c r="T32" i="21"/>
  <c r="F32" i="20"/>
  <c r="AF32" i="20"/>
  <c r="G26" i="14"/>
  <c r="S32" i="20"/>
  <c r="K32" i="20"/>
  <c r="AQ32" i="21"/>
  <c r="O17" i="11"/>
  <c r="AM32" i="20"/>
  <c r="J32" i="20"/>
  <c r="AK32" i="20"/>
  <c r="U12" i="11"/>
  <c r="AU32" i="20"/>
  <c r="G14" i="14"/>
  <c r="O18" i="11"/>
  <c r="R32" i="20"/>
  <c r="BF17" i="8" l="1"/>
  <c r="F16" i="11"/>
  <c r="AQ16" i="11" s="1"/>
  <c r="R8" i="9"/>
  <c r="AP17" i="20" s="1"/>
  <c r="P13" i="14"/>
  <c r="BF16" i="13"/>
  <c r="BG17" i="13"/>
  <c r="X12" i="21"/>
  <c r="BH9" i="16"/>
  <c r="BF11" i="11"/>
  <c r="BH21" i="16"/>
  <c r="BL9" i="11"/>
  <c r="BH18" i="16"/>
  <c r="BF19" i="11"/>
  <c r="BJ19" i="11"/>
  <c r="BL18" i="11"/>
  <c r="BI28" i="11"/>
  <c r="BK12" i="11"/>
  <c r="BF25" i="11"/>
  <c r="S18" i="16"/>
  <c r="AZ29" i="11"/>
  <c r="BK16" i="11"/>
  <c r="BJ21" i="11"/>
  <c r="V21" i="11"/>
  <c r="BF22" i="1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Q10" i="21"/>
  <c r="BI10" i="11"/>
  <c r="BG29" i="11"/>
  <c r="S9" i="17"/>
  <c r="V18" i="16"/>
  <c r="BK9" i="11"/>
  <c r="BK19" i="11"/>
  <c r="BH19" i="11"/>
  <c r="BF29" i="11"/>
  <c r="BM29" i="11"/>
  <c r="P18" i="17"/>
  <c r="BH19" i="16"/>
  <c r="BH16" i="11"/>
  <c r="BK13" i="11"/>
  <c r="S20" i="14"/>
  <c r="V20" i="14" s="1"/>
  <c r="BH11" i="16"/>
  <c r="T9" i="11"/>
  <c r="V16" i="11"/>
  <c r="BG25" i="11"/>
  <c r="Q18" i="20"/>
  <c r="Q23" i="20" s="1"/>
  <c r="BF28" i="11"/>
  <c r="BF18" i="11"/>
  <c r="BG22"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22" i="2"/>
  <c r="X22" i="16"/>
  <c r="S16" i="17"/>
  <c r="S17" i="17"/>
  <c r="L12" i="2"/>
  <c r="X19" i="16"/>
  <c r="X10" i="21"/>
  <c r="L20" i="2"/>
  <c r="U9" i="17"/>
  <c r="U31" i="17" s="1"/>
  <c r="V10" i="16"/>
  <c r="V9" i="16"/>
  <c r="X13" i="16"/>
  <c r="BF13" i="11"/>
  <c r="BH16" i="16"/>
  <c r="BG20" i="11"/>
  <c r="AP10" i="21"/>
  <c r="S28" i="17"/>
  <c r="AO29" i="17"/>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10" i="2"/>
  <c r="X21" i="20"/>
  <c r="L16" i="2"/>
  <c r="L18" i="2"/>
  <c r="X16" i="16"/>
  <c r="X23" i="16" s="1"/>
  <c r="L9" i="2"/>
  <c r="V25" i="16"/>
  <c r="BK29" i="11"/>
  <c r="BK11" i="11"/>
  <c r="BH20" i="16"/>
  <c r="BH22" i="16"/>
  <c r="BJ20" i="11"/>
  <c r="BH13" i="11"/>
  <c r="BH18" i="11"/>
  <c r="AO28" i="17"/>
  <c r="AZ16" i="11"/>
  <c r="AZ23" i="11" s="1"/>
  <c r="BW19" i="20"/>
  <c r="BU10" i="17"/>
  <c r="BU22" i="17"/>
  <c r="BU20" i="17"/>
  <c r="BW22" i="20"/>
  <c r="BW21" i="20"/>
  <c r="T16" i="11"/>
  <c r="Q18" i="17"/>
  <c r="BH10" i="11"/>
  <c r="AQ10" i="21"/>
  <c r="S10" i="17"/>
  <c r="BI29" i="11"/>
  <c r="BG17" i="11"/>
  <c r="P17" i="11" s="1"/>
  <c r="BM21" i="11"/>
  <c r="AO25" i="17"/>
  <c r="BJ17" i="11"/>
  <c r="BL17" i="11"/>
  <c r="BH22" i="11"/>
  <c r="L28" i="2"/>
  <c r="L17" i="2"/>
  <c r="AA11" i="16"/>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L31" i="21"/>
  <c r="AQ17"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<sst xmlns="http://schemas.openxmlformats.org/spreadsheetml/2006/main" count="2682" uniqueCount="1193">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</sst>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aQoYfABdYgMz8cFhIhc32MJbD07Zoz9Zts9DMXxTuxxbzgaszF13KZW/Nn1qvpNhj/HutSz6vaoyIvP4LtO5Q==" saltValue="muMGGdvIcVAJ0zij5ZcQ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4</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18.333333333333336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250</v>
      </c>
      <c r="D17" s="239">
        <f>IF(ISNUMBER(IF(D_I="SI",Datos!I17,Datos!I17+Datos!AC17)),IF(D_I="SI",Datos!I17,Datos!I17+Datos!AC17)," - ")</f>
        <v>244</v>
      </c>
      <c r="E17" s="240">
        <f>IF(ISNUMBER(IF(D_I="SI",Datos!J17,Datos!J17+Datos!AD17)),IF(D_I="SI",Datos!J17,Datos!J17+Datos!AD17)," - ")</f>
        <v>192</v>
      </c>
      <c r="F17" s="240">
        <f>IF(ISNUMBER(IF(D_I="SI",Datos!K17,Datos!K17+Datos!AE17)),IF(D_I="SI",Datos!K17,Datos!K17+Datos!AE17)," - ")</f>
        <v>184</v>
      </c>
      <c r="G17" s="1390" t="str">
        <f>IF(Datos!E17&lt;&gt;"",Datos!E17,Datos!D17)</f>
        <v>04</v>
      </c>
      <c r="H17" s="241">
        <f>IF(ISNUMBER(IF(D_I="SI",Datos!L17,Datos!L17+Datos!AF17)),IF(D_I="SI",Datos!L17,Datos!L17+Datos!AF17)," - ")</f>
        <v>258</v>
      </c>
      <c r="I17" s="1400" t="str">
        <f>IF(ISNUMBER(Datos!AS17/Datos!BM17),Datos!AS17/Datos!BM17," - ")</f>
        <v xml:space="preserve"> - </v>
      </c>
      <c r="J17" s="1401">
        <f>IF(ISNUMBER(Datos!BY17/Datos!CN17),Datos!BY17/Datos!CN17," - ")</f>
        <v>0</v>
      </c>
      <c r="K17" s="244">
        <f t="shared" si="3"/>
        <v>3.2000000000000001E-2</v>
      </c>
      <c r="L17" s="1402">
        <f>IF(ISNUMBER(NºAsuntos!I17/NºAsuntos!G17),(NºAsuntos!I17/NºAsuntos!G17)*11," - ")</f>
        <v>15.423913043478262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28</v>
      </c>
      <c r="F18" s="240">
        <f>IF(ISNUMBER(IF(D_I="SI",Datos!K18,Datos!K18+Datos!AE18)),IF(D_I="SI",Datos!K18,Datos!K18+Datos!AE18)," - ")</f>
        <v>35</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-0.1891891891891892</v>
      </c>
      <c r="L18" s="1402">
        <f>IF(ISNUMBER(NºAsuntos!I18/NºAsuntos!G18),(NºAsuntos!I18/NºAsuntos!G18)*11," - ")</f>
        <v>9.4285714285714288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287</v>
      </c>
      <c r="D23" s="1407">
        <f>SUBTOTAL(9,D16:D22)</f>
        <v>281</v>
      </c>
      <c r="E23" s="1408">
        <f>SUBTOTAL(9,E16:E22)</f>
        <v>220</v>
      </c>
      <c r="F23" s="1408">
        <f>SUBTOTAL(9,F16:F22)</f>
        <v>219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292</v>
      </c>
      <c r="D31" s="1435">
        <f>SUBTOTAL(9,D9:D30)</f>
        <v>286</v>
      </c>
      <c r="E31" s="1436">
        <f>SUBTOTAL(9,E9:E30)</f>
        <v>224</v>
      </c>
      <c r="F31" s="1436">
        <f>SUBTOTAL(9,F9:F30)</f>
        <v>221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AmYk0wW/JHfB+nOF9A8rF19E8SSgCMPf7CXfFdT6afnFj0EHuS4WJKzT6TX4sDvJrjR6HlqGphB8EmeQExgw==" saltValue="W5CpKaCW2Ve22x7YOcHQ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VgnbPo2EyuBsjZlyPwmILg0tnNQU+R8j4LTX+S7sHrQrZGu1iTZnkslWhg15zTcaUx4GoNt3LmJ6iP7E3RNvA==" saltValue="wghbYxn8XFgvdr4HmcqK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4</v>
      </c>
      <c r="K10" s="194">
        <v>2</v>
      </c>
      <c r="L10" s="194">
        <v>7</v>
      </c>
      <c r="M10" s="194">
        <v>0</v>
      </c>
      <c r="N10" s="194">
        <v>0</v>
      </c>
      <c r="O10" s="194">
        <v>0</v>
      </c>
      <c r="P10" s="194">
        <v>0</v>
      </c>
      <c r="Q10" s="194">
        <v>0</v>
      </c>
      <c r="R10" s="194">
        <v>1</v>
      </c>
      <c r="S10" s="194">
        <v>6</v>
      </c>
      <c r="T10" s="194">
        <v>3</v>
      </c>
      <c r="U10" s="194">
        <v>1</v>
      </c>
      <c r="V10" s="194">
        <v>8</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3</v>
      </c>
      <c r="BA10" s="139">
        <f t="shared" si="0"/>
        <v>1</v>
      </c>
      <c r="BB10" s="139">
        <f t="shared" si="0"/>
        <v>8</v>
      </c>
      <c r="BC10" s="135">
        <f t="shared" si="0"/>
        <v>1</v>
      </c>
      <c r="BD10" s="136">
        <f>IF(ISNUMBER(BA10/AZ10),BA10/AZ10," - ")</f>
        <v>0.33333333333333331</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412</v>
      </c>
      <c r="J12" s="196">
        <v>173</v>
      </c>
      <c r="K12" s="196">
        <v>216</v>
      </c>
      <c r="L12" s="196">
        <v>369</v>
      </c>
      <c r="M12" s="196">
        <v>83</v>
      </c>
      <c r="N12" s="196">
        <v>64</v>
      </c>
      <c r="O12" s="194">
        <v>112</v>
      </c>
      <c r="P12" s="196">
        <v>70</v>
      </c>
      <c r="Q12" s="196">
        <v>36</v>
      </c>
      <c r="R12" s="196">
        <v>798</v>
      </c>
      <c r="S12" s="196">
        <v>537</v>
      </c>
      <c r="T12" s="196">
        <v>241</v>
      </c>
      <c r="U12" s="196">
        <v>211</v>
      </c>
      <c r="V12" s="196">
        <v>567</v>
      </c>
      <c r="W12" s="196">
        <v>58</v>
      </c>
      <c r="X12" s="202">
        <v>89</v>
      </c>
      <c r="Y12" s="204">
        <v>21</v>
      </c>
      <c r="Z12" s="194">
        <v>18</v>
      </c>
      <c r="AA12" s="194">
        <v>18</v>
      </c>
      <c r="AB12" s="194">
        <v>21</v>
      </c>
      <c r="AC12" s="196">
        <v>0</v>
      </c>
      <c r="AD12" s="196">
        <v>0</v>
      </c>
      <c r="AE12" s="196">
        <v>0</v>
      </c>
      <c r="AF12" s="202">
        <v>0</v>
      </c>
      <c r="AG12" s="215">
        <v>28</v>
      </c>
      <c r="AH12" s="196">
        <v>47</v>
      </c>
      <c r="AI12" s="196">
        <v>45</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565</v>
      </c>
      <c r="AZ12" s="137">
        <f t="shared" si="1"/>
        <v>288</v>
      </c>
      <c r="BA12" s="137">
        <f t="shared" si="1"/>
        <v>256</v>
      </c>
      <c r="BB12" s="137">
        <f t="shared" si="1"/>
        <v>597</v>
      </c>
      <c r="BC12" s="135">
        <f>IF(ISNUMBER(X12),X12," - ")</f>
        <v>89</v>
      </c>
      <c r="BD12" s="136">
        <f t="shared" si="2"/>
        <v>0.88888888888888884</v>
      </c>
      <c r="BE12" s="137">
        <f t="shared" si="3"/>
        <v>2.33203125</v>
      </c>
      <c r="BF12" s="137">
        <f t="shared" si="4"/>
        <v>0.34765625</v>
      </c>
      <c r="BG12" s="209">
        <f t="shared" si="5"/>
        <v>3.33203125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417</v>
      </c>
      <c r="J14" s="197">
        <f t="shared" si="7"/>
        <v>177</v>
      </c>
      <c r="K14" s="197">
        <f t="shared" si="7"/>
        <v>218</v>
      </c>
      <c r="L14" s="197">
        <f t="shared" si="7"/>
        <v>376</v>
      </c>
      <c r="M14" s="197">
        <f t="shared" si="7"/>
        <v>83</v>
      </c>
      <c r="N14" s="197">
        <f t="shared" si="7"/>
        <v>64</v>
      </c>
      <c r="O14" s="197">
        <f t="shared" si="7"/>
        <v>112</v>
      </c>
      <c r="P14" s="197">
        <f t="shared" si="7"/>
        <v>70</v>
      </c>
      <c r="Q14" s="197">
        <f t="shared" si="7"/>
        <v>36</v>
      </c>
      <c r="R14" s="197">
        <f t="shared" si="7"/>
        <v>799</v>
      </c>
      <c r="S14" s="197">
        <f t="shared" si="7"/>
        <v>543</v>
      </c>
      <c r="T14" s="197">
        <f t="shared" si="7"/>
        <v>244</v>
      </c>
      <c r="U14" s="197">
        <f t="shared" si="7"/>
        <v>212</v>
      </c>
      <c r="V14" s="197">
        <f t="shared" si="7"/>
        <v>575</v>
      </c>
      <c r="W14" s="197">
        <f t="shared" si="7"/>
        <v>59</v>
      </c>
      <c r="X14" s="197">
        <f t="shared" si="7"/>
        <v>89</v>
      </c>
      <c r="Y14" s="197">
        <f t="shared" si="7"/>
        <v>21</v>
      </c>
      <c r="Z14" s="197">
        <f t="shared" si="7"/>
        <v>18</v>
      </c>
      <c r="AA14" s="197">
        <f t="shared" si="7"/>
        <v>18</v>
      </c>
      <c r="AB14" s="197">
        <f t="shared" si="7"/>
        <v>21</v>
      </c>
      <c r="AC14" s="197">
        <f t="shared" si="7"/>
        <v>0</v>
      </c>
      <c r="AD14" s="197">
        <f t="shared" si="7"/>
        <v>0</v>
      </c>
      <c r="AE14" s="197">
        <f t="shared" si="7"/>
        <v>0</v>
      </c>
      <c r="AF14" s="197">
        <f>SUBTOTAL(9,AF9:AF13)</f>
        <v>0</v>
      </c>
      <c r="AG14" s="197">
        <f t="shared" ref="AG14:AT14" si="8">SUBTOTAL(9,AG8:AG13)</f>
        <v>28</v>
      </c>
      <c r="AH14" s="197">
        <f t="shared" si="8"/>
        <v>47</v>
      </c>
      <c r="AI14" s="197">
        <f t="shared" si="8"/>
        <v>45</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571</v>
      </c>
      <c r="AZ14" s="197">
        <f>SUBTOTAL(9,AZ8:AZ13)</f>
        <v>291</v>
      </c>
      <c r="BA14" s="197">
        <f>SUBTOTAL(9,BA8:BA13)</f>
        <v>257</v>
      </c>
      <c r="BB14" s="197">
        <f>SUBTOTAL(9,BB8:BB13)</f>
        <v>605</v>
      </c>
      <c r="BC14" s="197">
        <f>SUBTOTAL(9,BC8:BC13)</f>
        <v>90</v>
      </c>
      <c r="BD14" s="219">
        <f>IF(ISNUMBER(BA14/AZ14),BA14/AZ14," - ")</f>
        <v>0.88316151202749138</v>
      </c>
      <c r="BE14" s="220">
        <f>IF(ISNUMBER(BB14/BA14),BB14/BA14, " - ")</f>
        <v>2.3540856031128405</v>
      </c>
      <c r="BF14" s="220">
        <f>IF(ISNUMBER(BC14/BA14),BC14/BA14, " - ")</f>
        <v>0.35019455252918286</v>
      </c>
      <c r="BG14" s="221">
        <f>IF(ISNUMBER((AY14+AZ14)/BA14),(AY14+AZ14)/BA14," - ")</f>
        <v>3.3540856031128405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192</v>
      </c>
      <c r="K17" s="196">
        <v>184</v>
      </c>
      <c r="L17" s="196">
        <v>258</v>
      </c>
      <c r="M17" s="196">
        <v>38</v>
      </c>
      <c r="N17" s="196">
        <v>78</v>
      </c>
      <c r="O17" s="194">
        <v>0</v>
      </c>
      <c r="P17" s="196">
        <v>7</v>
      </c>
      <c r="Q17" s="196">
        <v>10</v>
      </c>
      <c r="R17" s="196">
        <v>28</v>
      </c>
      <c r="S17" s="196">
        <v>361</v>
      </c>
      <c r="T17" s="196">
        <v>186</v>
      </c>
      <c r="U17" s="196">
        <v>264</v>
      </c>
      <c r="V17" s="196">
        <v>283</v>
      </c>
      <c r="W17" s="196">
        <v>49</v>
      </c>
      <c r="X17" s="202">
        <v>121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361</v>
      </c>
      <c r="AZ17" s="137">
        <f t="shared" si="10"/>
        <v>186</v>
      </c>
      <c r="BA17" s="137">
        <f t="shared" si="10"/>
        <v>264</v>
      </c>
      <c r="BB17" s="137">
        <f t="shared" si="10"/>
        <v>283</v>
      </c>
      <c r="BC17" s="135">
        <f>IF(ISNUMBER(W17),W17," - ")</f>
        <v>49</v>
      </c>
      <c r="BD17" s="136">
        <f t="shared" ref="BD17:BD22" si="12">IF(ISNUMBER(BA17/AZ17),BA17/AZ17," - ")</f>
        <v>1.4193548387096775</v>
      </c>
      <c r="BE17" s="137">
        <f t="shared" ref="BE17:BE22" si="13">IF(ISNUMBER(BB17/BA17),BB17/BA17, " - ")</f>
        <v>1.071969696969697</v>
      </c>
      <c r="BF17" s="137">
        <f t="shared" ref="BF17:BF22" si="14">IF(ISNUMBER(BC17/BA17),BC17/BA17, " - ")</f>
        <v>0.18560606060606061</v>
      </c>
      <c r="BG17" s="209">
        <f t="shared" si="11"/>
        <v>2.0719696969696968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28</v>
      </c>
      <c r="K18" s="196">
        <v>35</v>
      </c>
      <c r="L18" s="196">
        <v>30</v>
      </c>
      <c r="M18" s="196">
        <v>5</v>
      </c>
      <c r="N18" s="196">
        <v>18</v>
      </c>
      <c r="O18" s="196">
        <v>0</v>
      </c>
      <c r="P18" s="196">
        <v>0</v>
      </c>
      <c r="Q18" s="196">
        <v>0</v>
      </c>
      <c r="R18" s="196">
        <v>0</v>
      </c>
      <c r="S18" s="196">
        <v>39</v>
      </c>
      <c r="T18" s="196">
        <v>17</v>
      </c>
      <c r="U18" s="196">
        <v>19</v>
      </c>
      <c r="V18" s="196">
        <v>37</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17</v>
      </c>
      <c r="BA18" s="139">
        <f t="shared" si="15"/>
        <v>19</v>
      </c>
      <c r="BB18" s="139">
        <f t="shared" si="15"/>
        <v>37</v>
      </c>
      <c r="BC18" s="135">
        <f>IF(ISNUMBER(W18),W18," - ")</f>
        <v>1</v>
      </c>
      <c r="BD18" s="136">
        <f>IF(ISNUMBER(BA18/AZ18),BA18/AZ18," - ")</f>
        <v>1.1176470588235294</v>
      </c>
      <c r="BE18" s="137">
        <f>IF(ISNUMBER(BB18/BA18),BB18/BA18, " - ")</f>
        <v>1.9473684210526316</v>
      </c>
      <c r="BF18" s="137">
        <f>IF(ISNUMBER(BC18/BA18),BC18/BA18, " - ")</f>
        <v>5.2631578947368418E-2</v>
      </c>
      <c r="BG18" s="209">
        <f>IF(ISNUMBER((AY18+AZ18)/BA18),(AY18+AZ18)/BA18," - ")</f>
        <v>2.9473684210526314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281</v>
      </c>
      <c r="J23" s="197">
        <f t="shared" si="21"/>
        <v>220</v>
      </c>
      <c r="K23" s="197">
        <f t="shared" si="21"/>
        <v>219</v>
      </c>
      <c r="L23" s="197">
        <f t="shared" si="21"/>
        <v>288</v>
      </c>
      <c r="M23" s="197">
        <f t="shared" si="21"/>
        <v>43</v>
      </c>
      <c r="N23" s="197">
        <f t="shared" si="21"/>
        <v>96</v>
      </c>
      <c r="O23" s="197">
        <f t="shared" si="21"/>
        <v>0</v>
      </c>
      <c r="P23" s="197">
        <f t="shared" si="21"/>
        <v>7</v>
      </c>
      <c r="Q23" s="197">
        <f t="shared" si="21"/>
        <v>10</v>
      </c>
      <c r="R23" s="197">
        <f t="shared" si="21"/>
        <v>28</v>
      </c>
      <c r="S23" s="197">
        <f t="shared" si="21"/>
        <v>400</v>
      </c>
      <c r="T23" s="197">
        <f t="shared" si="21"/>
        <v>203</v>
      </c>
      <c r="U23" s="197">
        <f t="shared" si="21"/>
        <v>283</v>
      </c>
      <c r="V23" s="197">
        <f t="shared" si="21"/>
        <v>320</v>
      </c>
      <c r="W23" s="197">
        <f t="shared" si="21"/>
        <v>50</v>
      </c>
      <c r="X23" s="197">
        <f t="shared" si="21"/>
        <v>132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400</v>
      </c>
      <c r="AZ23" s="197">
        <f>SUBTOTAL(9,AZ15:AZ22)</f>
        <v>203</v>
      </c>
      <c r="BA23" s="197">
        <f>SUBTOTAL(9,BA15:BA22)</f>
        <v>283</v>
      </c>
      <c r="BB23" s="197">
        <f>SUBTOTAL(9,BB15:BB22)</f>
        <v>320</v>
      </c>
      <c r="BC23" s="197">
        <f>SUBTOTAL(9,BC15:BC22)</f>
        <v>50</v>
      </c>
      <c r="BD23" s="219">
        <f>IF(ISNUMBER(BA23/AZ23),BA23/AZ23," - ")</f>
        <v>1.3940886699507389</v>
      </c>
      <c r="BE23" s="220">
        <f>IF(ISNUMBER(BB23/BA23),BB23/BA23, " - ")</f>
        <v>1.1307420494699647</v>
      </c>
      <c r="BF23" s="220">
        <f>IF(ISNUMBER(BC23/BA23),BC23/BA23, " - ")</f>
        <v>0.17667844522968199</v>
      </c>
      <c r="BG23" s="221">
        <f>IF(ISNUMBER((AY23+AZ23)/BA23),(AY23+AZ23)/BA23," - ")</f>
        <v>2.1307420494699647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698</v>
      </c>
      <c r="J31" s="144">
        <f t="shared" si="36"/>
        <v>397</v>
      </c>
      <c r="K31" s="144">
        <f t="shared" si="36"/>
        <v>437</v>
      </c>
      <c r="L31" s="144">
        <f t="shared" si="36"/>
        <v>664</v>
      </c>
      <c r="M31" s="144">
        <f t="shared" si="36"/>
        <v>126</v>
      </c>
      <c r="N31" s="144">
        <f t="shared" si="36"/>
        <v>160</v>
      </c>
      <c r="O31" s="144">
        <f t="shared" si="36"/>
        <v>112</v>
      </c>
      <c r="P31" s="144">
        <f t="shared" si="36"/>
        <v>77</v>
      </c>
      <c r="Q31" s="144">
        <f t="shared" si="36"/>
        <v>46</v>
      </c>
      <c r="R31" s="144">
        <f t="shared" si="36"/>
        <v>827</v>
      </c>
      <c r="S31" s="144">
        <f t="shared" si="36"/>
        <v>943</v>
      </c>
      <c r="T31" s="144">
        <f t="shared" si="36"/>
        <v>447</v>
      </c>
      <c r="U31" s="144">
        <f t="shared" si="36"/>
        <v>495</v>
      </c>
      <c r="V31" s="144">
        <f t="shared" si="36"/>
        <v>895</v>
      </c>
      <c r="W31" s="144">
        <f t="shared" si="36"/>
        <v>109</v>
      </c>
      <c r="X31" s="144">
        <f t="shared" si="36"/>
        <v>221</v>
      </c>
      <c r="Y31" s="144">
        <f t="shared" si="36"/>
        <v>21</v>
      </c>
      <c r="Z31" s="144">
        <f t="shared" si="36"/>
        <v>18</v>
      </c>
      <c r="AA31" s="144">
        <f t="shared" si="36"/>
        <v>18</v>
      </c>
      <c r="AB31" s="144">
        <f t="shared" si="36"/>
        <v>21</v>
      </c>
      <c r="AC31" s="144">
        <f t="shared" si="36"/>
        <v>0</v>
      </c>
      <c r="AD31" s="144">
        <f t="shared" si="36"/>
        <v>0</v>
      </c>
      <c r="AE31" s="144">
        <f t="shared" si="36"/>
        <v>0</v>
      </c>
      <c r="AF31" s="144">
        <f t="shared" si="36"/>
        <v>0</v>
      </c>
      <c r="AG31" s="144">
        <f t="shared" si="36"/>
        <v>28</v>
      </c>
      <c r="AH31" s="144">
        <f t="shared" si="36"/>
        <v>47</v>
      </c>
      <c r="AI31" s="144">
        <f t="shared" si="36"/>
        <v>45</v>
      </c>
      <c r="AJ31" s="144">
        <f t="shared" si="36"/>
        <v>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971</v>
      </c>
      <c r="AZ31" s="144">
        <f>SUBTOTAL(9,AZ9:AZ30)</f>
        <v>494</v>
      </c>
      <c r="BA31" s="144">
        <f>SUBTOTAL(9,BA9:BA30)</f>
        <v>540</v>
      </c>
      <c r="BB31" s="144">
        <f>SUBTOTAL(9,BB9:BB30)</f>
        <v>925</v>
      </c>
      <c r="BC31" s="145">
        <f>SUBTOTAL(9,BC9:BC30)</f>
        <v>140</v>
      </c>
      <c r="BD31" s="227">
        <f>IF(ISNUMBER(BA31/AZ31),BA31/AZ31," - ")</f>
        <v>1.0931174089068827</v>
      </c>
      <c r="BE31" s="224">
        <f>IF(ISNUMBER(BB31/BA31),BB31/BA31, " - ")</f>
        <v>1.712962962962963</v>
      </c>
      <c r="BF31" s="224">
        <f>IF(ISNUMBER(BC31/BA31),BC31/BA31, " - ")</f>
        <v>0.25925925925925924</v>
      </c>
      <c r="BG31" s="145">
        <f>IF(ISNUMBER((AY31+AZ31)/BA31),(AY31+AZ31)/BA31," - ")</f>
        <v>2.7129629629629628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OG+uoloHXYx1EuLMEHI+WRvJPAwDFMcftIzcghVmKaT5C9MqfJmWf9qd5Le2eIzSBf6hlYlZZzN8FYf514slA==" saltValue="7wxVmhtqSATr4rHa+rs3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9GfO+tWOQ7RpMZG1y83Khza6KhvDrd3QQSDEQfiPTm53/S++44bZ+HG774eJgDsW5e4l0BNwLzb0FnYYz/Og==" saltValue="91FKDdt/oQblZ0iawgZr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VERIN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798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1.2251308900523561</v>
      </c>
      <c r="BH12" s="764">
        <f>IF(ISNUMBER(((IF(J_V="SI",Datos!L12/Datos!K12,(Datos!L12+Datos!AB12)/(Datos!K12+Datos!AA12)))*11)/factor_trimestre),((IF(J_V="SI",Datos!L12/Datos!K12,(Datos!L12+Datos!AB12)/(Datos!K12+Datos!AA12)))*11)/factor_trimestre," - ")</f>
        <v>5.0000000000000009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4.4502617801047119E-2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36</v>
      </c>
      <c r="AD14" s="1198">
        <f t="shared" si="2"/>
        <v>0</v>
      </c>
      <c r="AE14" s="1198">
        <f t="shared" si="2"/>
        <v>0</v>
      </c>
      <c r="AF14" s="1198">
        <f t="shared" si="2"/>
        <v>7</v>
      </c>
      <c r="AG14" s="1198">
        <f t="shared" si="2"/>
        <v>0</v>
      </c>
      <c r="AH14" s="1198">
        <f t="shared" si="2"/>
        <v>21</v>
      </c>
      <c r="AI14" s="1198">
        <f t="shared" si="2"/>
        <v>0</v>
      </c>
      <c r="AJ14" s="1198">
        <f t="shared" si="2"/>
        <v>0</v>
      </c>
      <c r="AK14" s="1198">
        <f t="shared" si="2"/>
        <v>0</v>
      </c>
      <c r="AL14" s="1198">
        <f t="shared" si="2"/>
        <v>0</v>
      </c>
      <c r="AM14" s="1198">
        <f t="shared" si="2"/>
        <v>799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64</v>
      </c>
      <c r="BE14" s="1198">
        <f t="shared" si="2"/>
        <v>0</v>
      </c>
      <c r="BF14" s="1198">
        <f t="shared" si="2"/>
        <v>0</v>
      </c>
      <c r="BG14" s="1198">
        <f>IF(ISNUMBER(Datos!K14/Datos!J14),Datos!K14/Datos!J14," - ")</f>
        <v>1.231638418079096</v>
      </c>
      <c r="BH14" s="1202">
        <f>IF(ISNUMBER(((Datos!L14/Datos!K14)*11)/factor_trimestre),((Datos!L14/Datos!K14)*11)/factor_trimestre," - ")</f>
        <v>5.1743119266055055</v>
      </c>
      <c r="BI14" s="1198">
        <f>IF(ISNUMBER('Resol  Asuntos'!D14/NºAsuntos!G14),'Resol  Asuntos'!D14/NºAsuntos!G14," - ")</f>
        <v>0.35169491525423729</v>
      </c>
      <c r="BJ14" s="1198" t="str">
        <f>IF(ISNUMBER(Datos!CI14/Datos!CJ14),Datos!CI14/Datos!CJ14," - ")</f>
        <v xml:space="preserve"> - </v>
      </c>
      <c r="BK14" s="1198">
        <f>SUBTOTAL(9,BK8:BK13)</f>
        <v>0</v>
      </c>
      <c r="BL14" s="1198">
        <f>IF(ISNUMBER((I14-AB14+L14)/(F14)),(I14-AB14+L14)/(F14)," - ")</f>
        <v>-0.4</v>
      </c>
      <c r="BM14" s="1203">
        <f>SUBTOTAL(9,BM9:BM13)</f>
        <v>4.4502617801047119E-2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250</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184</v>
      </c>
      <c r="AC17" s="240">
        <f>IF(ISNUMBER(Datos!Q17),Datos!Q17," - ")</f>
        <v>10</v>
      </c>
      <c r="AD17" s="374"/>
      <c r="AE17" s="562"/>
      <c r="AF17" s="741">
        <f>IF(ISNUMBER(IF(D_I="SI",Datos!L17,Datos!L17+Datos!AF17)),IF(D_I="SI",Datos!L17,Datos!L17+Datos!AF17)," - ")</f>
        <v>258</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0.95833333333333337</v>
      </c>
      <c r="BH17" s="764">
        <f>IF(ISNUMBER(((IF(D_I="SI",Datos!L17/Datos!K17,(Datos!L17+Datos!AF17)/(Datos!K17+Datos!AE17)))*11)/factor_trimestre),((IF(D_I="SI",Datos!L17/Datos!K17,(Datos!L17+Datos!AF17)/(Datos!K17+Datos!AE17)))*11)/factor_trimestre," - ")</f>
        <v>4.2065217391304355</v>
      </c>
      <c r="BI17" s="266">
        <f>IF(ISNUMBER('Resol  Asuntos'!D17/NºAsuntos!G17),'Resol  Asuntos'!D17/NºAsuntos!G17," - ")</f>
        <v>0.20652173913043478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2.5714285714285716</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250</v>
      </c>
      <c r="G23" s="1197">
        <f>SUBTOTAL(9,G16:G22)</f>
        <v>281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219</v>
      </c>
      <c r="AC23" s="1198">
        <f t="shared" si="5"/>
        <v>10</v>
      </c>
      <c r="AD23" s="1198">
        <f t="shared" si="5"/>
        <v>0</v>
      </c>
      <c r="AE23" s="1198">
        <f t="shared" si="5"/>
        <v>0</v>
      </c>
      <c r="AF23" s="1198">
        <f t="shared" si="5"/>
        <v>288</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96</v>
      </c>
      <c r="BE23" s="1198">
        <f t="shared" si="5"/>
        <v>0</v>
      </c>
      <c r="BF23" s="1198">
        <f t="shared" si="5"/>
        <v>0</v>
      </c>
      <c r="BG23" s="1198">
        <f>IF(ISNUMBER(Datos!K23/Datos!J23),Datos!K23/Datos!J23," - ")</f>
        <v>0.99545454545454548</v>
      </c>
      <c r="BH23" s="1202">
        <f>IF(ISNUMBER(((Datos!L23/Datos!K23)*11)/factor_trimestre),((Datos!L23/Datos!K23)*11)/factor_trimestre," - ")</f>
        <v>3.9452054794520546</v>
      </c>
      <c r="BI23" s="1198">
        <f>SUBTOTAL(9,BI16:BI22)</f>
        <v>0.34937888198757761</v>
      </c>
      <c r="BJ23" s="1198">
        <f>SUBTOTAL(9,BJ16:BJ22)</f>
        <v>0</v>
      </c>
      <c r="BK23" s="1198">
        <f>SUBTOTAL(9,BK16:BK22)</f>
        <v>0</v>
      </c>
      <c r="BL23" s="1198">
        <f>IF(ISNUMBER((I23-AB23+L23)/(F23)),(I23-AB23+L23)/(F23)," - ")</f>
        <v>-0.876</v>
      </c>
      <c r="BM23" s="1205">
        <f>IF(ISNUMBER((Datos!P23-Datos!Q23)/(Datos!R23-Datos!P23+Datos!Q23)),(Datos!P23-Datos!Q23)/(Datos!R23-Datos!P23+Datos!Q23)," - ")</f>
        <v>-9.6774193548387094E-2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255</v>
      </c>
      <c r="G31" s="1117">
        <f t="shared" si="18"/>
        <v>286</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221</v>
      </c>
      <c r="AC31" s="1118">
        <f t="shared" si="19"/>
        <v>46</v>
      </c>
      <c r="AD31" s="1118">
        <f t="shared" si="19"/>
        <v>0</v>
      </c>
      <c r="AE31" s="1118">
        <f t="shared" si="19"/>
        <v>0</v>
      </c>
      <c r="AF31" s="1125">
        <f t="shared" si="19"/>
        <v>295</v>
      </c>
      <c r="AG31" s="1125">
        <f t="shared" si="19"/>
        <v>0</v>
      </c>
      <c r="AH31" s="1125">
        <f t="shared" si="19"/>
        <v>21</v>
      </c>
      <c r="AI31" s="1125">
        <f t="shared" si="19"/>
        <v>0</v>
      </c>
      <c r="AJ31" s="1118">
        <f t="shared" si="19"/>
        <v>0</v>
      </c>
      <c r="AK31" s="1125">
        <f t="shared" si="19"/>
        <v>0</v>
      </c>
      <c r="AL31" s="1125">
        <f t="shared" si="19"/>
        <v>0</v>
      </c>
      <c r="AM31" s="1125">
        <f t="shared" si="19"/>
        <v>827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126</v>
      </c>
      <c r="BD31" s="1117">
        <f t="shared" si="19"/>
        <v>160</v>
      </c>
      <c r="BE31" s="1117">
        <f t="shared" si="19"/>
        <v>0</v>
      </c>
      <c r="BF31" s="1127">
        <f t="shared" si="19"/>
        <v>0</v>
      </c>
      <c r="BG31" s="1223">
        <f>IF(ISNUMBER(Datos!K31/Datos!J31),Datos!K31/Datos!J31," - ")</f>
        <v>1.1007556675062973</v>
      </c>
      <c r="BH31" s="1223">
        <f>IF(ISNUMBER(((Datos!L31/Datos!K31)*11)/factor_trimestre),((Datos!L31/Datos!K31)*11)/factor_trimestre," - ")</f>
        <v>4.5583524027459958</v>
      </c>
      <c r="BI31" s="1103">
        <f>IF(ISNUMBER(Datos!J31/Datos!I31),Datos!J31/Datos!I31," - ")</f>
        <v>0.56876790830945556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-0.8666666666666667</v>
      </c>
      <c r="BM31" s="1188">
        <f>IF(ISNUMBER((Datos!P31-Datos!Q31+R31)/(Datos!R31-Datos!P31+Datos!Q31-R31)),(Datos!P31-Datos!Q31+R31)/(Datos!R31-Datos!P31+Datos!Q31-R31)," - ")</f>
        <v>3.8944723618090454E-2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127.82800945019835</v>
      </c>
      <c r="G33" s="674">
        <f>IF(ISNUMBER(STDEV(G8:G30)),STDEV(G8:G30),"-")</f>
        <v>124.61636367362874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95.865232786150671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36.170232433393544</v>
      </c>
      <c r="BD33" s="673"/>
      <c r="BE33" s="673">
        <f>IF(ISNUMBER(STDEV(BE8:BE30)),STDEV(BE8:BE30),"-")</f>
        <v>0</v>
      </c>
      <c r="BF33" s="678">
        <f>IF(ISNUMBER(STDEV(BF8:BF30)),STDEV(BF8:BF30),"-")</f>
        <v>0</v>
      </c>
      <c r="BG33" s="1052">
        <f>IF(ISNUMBER(STDEV(BG8:BG30)),STDEV(BG8:BG30),"-")</f>
        <v>0.28785434219717626</v>
      </c>
      <c r="BH33" s="1058">
        <f>IF(ISNUMBER(STDEV(BH8:BH30)),STDEV(BH8:BH30),"-")</f>
        <v>2.742081583735855</v>
      </c>
      <c r="BI33" s="273">
        <f>IF(ISNUMBER(STDEV(BI8:BI30)),STDEV(BI8:BI30),"-")</f>
        <v>0.10480394516793101</v>
      </c>
      <c r="BJ33" s="244" t="str">
        <f>IF(ISNUMBER(BL33/BM33),BL33/BM33," - ")</f>
        <v xml:space="preserve"> - </v>
      </c>
      <c r="BK33" s="709"/>
      <c r="BL33" s="681">
        <f>IF(ISNUMBER(STDEV(BL8:BL30)),STDEV(BL8:BL30),"-")</f>
        <v>0.33658282784479654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Gx1PbhW/cP0CVOiymzFneIlxCwfrQfIuY3ndOtXhqafSdbvo+Ux391Yjougg3BX+EUBYEfTv+wIUftR+1T96A==" saltValue="dW7KZjwOZ4apx13Rbbdv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VERIN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798</v>
      </c>
      <c r="AF12" s="693" t="str">
        <f>IF(ISNUMBER(Datos!BV12),Datos!BV12," - ")</f>
        <v xml:space="preserve"> - </v>
      </c>
      <c r="AG12" s="552" t="str">
        <f>IF(ISNUMBER(Datos!DV12),Datos!DV12," - ")</f>
        <v xml:space="preserve"> - </v>
      </c>
      <c r="AH12" s="553"/>
      <c r="AI12" s="554"/>
      <c r="AJ12" s="552">
        <f>IF(ISNUMBER(Datos!M12),Datos!M12," - ")</f>
        <v>83</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5.0000000000000009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4.4502617801047119E-2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36</v>
      </c>
      <c r="AA14" s="1199">
        <f t="shared" si="3"/>
        <v>7</v>
      </c>
      <c r="AB14" s="1199">
        <f t="shared" si="3"/>
        <v>0</v>
      </c>
      <c r="AC14" s="1199">
        <f t="shared" si="3"/>
        <v>0</v>
      </c>
      <c r="AD14" s="1199">
        <f t="shared" si="3"/>
        <v>0</v>
      </c>
      <c r="AE14" s="1199">
        <f t="shared" si="3"/>
        <v>799</v>
      </c>
      <c r="AF14" s="1211">
        <f t="shared" si="3"/>
        <v>0</v>
      </c>
      <c r="AG14" s="1211">
        <f t="shared" si="3"/>
        <v>0</v>
      </c>
      <c r="AH14" s="1211">
        <f t="shared" si="3"/>
        <v>0</v>
      </c>
      <c r="AI14" s="1211">
        <f t="shared" si="3"/>
        <v>0</v>
      </c>
      <c r="AJ14" s="1211">
        <f t="shared" si="3"/>
        <v>83</v>
      </c>
      <c r="AK14" s="1211">
        <f t="shared" si="3"/>
        <v>64</v>
      </c>
      <c r="AL14" s="1211">
        <f t="shared" si="3"/>
        <v>0</v>
      </c>
      <c r="AM14" s="1211">
        <f t="shared" si="3"/>
        <v>0</v>
      </c>
      <c r="AN14" s="1211">
        <f t="shared" si="3"/>
        <v>0</v>
      </c>
      <c r="AO14" s="1203">
        <f>IF(ISNUMBER(((NºAsuntos!I14/NºAsuntos!G14)*11)/factor_trimestre),((NºAsuntos!I14/NºAsuntos!G14)*11)/factor_trimestre," - ")</f>
        <v>5.0466101694915251</v>
      </c>
      <c r="AP14" s="1213" t="str">
        <f>IF(ISNUMBER(Datos!CI14/Datos!CJ14),Datos!CI14/Datos!CJ14," - ")</f>
        <v xml:space="preserve"> - </v>
      </c>
      <c r="AQ14" s="1236">
        <f t="shared" ref="AQ14:AV14" si="4">SUBTOTAL(9,AQ9:AQ13)</f>
        <v>0</v>
      </c>
      <c r="AR14" s="1236">
        <f t="shared" si="4"/>
        <v>4.4502617801047119E-2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250</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184</v>
      </c>
      <c r="Z17" s="805">
        <f>IF(ISNUMBER(Datos!Q17),Datos!Q17," - ")</f>
        <v>10</v>
      </c>
      <c r="AA17" s="551">
        <f>IF(ISNUMBER(IF(D_I="SI",Datos!L17,Datos!L17+Datos!AF17)),IF(D_I="SI",Datos!L17,Datos!L17+Datos!AF17)," - ")</f>
        <v>258</v>
      </c>
      <c r="AB17" s="549"/>
      <c r="AC17" s="549"/>
      <c r="AD17" s="563"/>
      <c r="AE17" s="563">
        <f>IF(ISNUMBER(Datos!R17),Datos!R17," - ")</f>
        <v>28</v>
      </c>
      <c r="AF17" s="693" t="str">
        <f>IF(ISNUMBER(Datos!BV17),Datos!BV17," - ")</f>
        <v xml:space="preserve"> - </v>
      </c>
      <c r="AG17" s="552"/>
      <c r="AH17" s="553"/>
      <c r="AI17" s="554"/>
      <c r="AJ17" s="552">
        <f>IF(ISNUMBER(Datos!M17),Datos!M17," - ")</f>
        <v>38</v>
      </c>
      <c r="AK17" s="693">
        <f>IF(ISNUMBER(Datos!N17),Datos!N17," - ")</f>
        <v>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4.2065217391304355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2.5714285714285716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250</v>
      </c>
      <c r="G23" s="1197">
        <f>SUBTOTAL(9,G16:G22)</f>
        <v>281</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219</v>
      </c>
      <c r="Z23" s="1240">
        <f t="shared" si="6"/>
        <v>10</v>
      </c>
      <c r="AA23" s="1240">
        <f t="shared" si="6"/>
        <v>288</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43</v>
      </c>
      <c r="AK23" s="1240">
        <f t="shared" si="6"/>
        <v>96</v>
      </c>
      <c r="AL23" s="1240">
        <f t="shared" si="6"/>
        <v>0</v>
      </c>
      <c r="AM23" s="1240">
        <f t="shared" si="6"/>
        <v>0</v>
      </c>
      <c r="AN23" s="1240">
        <f t="shared" si="6"/>
        <v>0</v>
      </c>
      <c r="AO23" s="1242">
        <f>IF(ISNUMBER(((NºAsuntos!I23/NºAsuntos!G23)*11)/factor_trimestre),((NºAsuntos!I23/NºAsuntos!G23)*11)/factor_trimestre," - ")</f>
        <v>3.9452054794520546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255</v>
      </c>
      <c r="G31" s="1117">
        <f t="shared" si="12"/>
        <v>286</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221</v>
      </c>
      <c r="Z31" s="1124">
        <f t="shared" si="13"/>
        <v>46</v>
      </c>
      <c r="AA31" s="1125">
        <f t="shared" si="13"/>
        <v>295</v>
      </c>
      <c r="AB31" s="1125">
        <f t="shared" si="13"/>
        <v>0</v>
      </c>
      <c r="AC31" s="1125">
        <f t="shared" si="13"/>
        <v>0</v>
      </c>
      <c r="AD31" s="1126">
        <f t="shared" si="13"/>
        <v>0</v>
      </c>
      <c r="AE31" s="1126">
        <f t="shared" si="13"/>
        <v>827</v>
      </c>
      <c r="AF31" s="1127">
        <f t="shared" si="13"/>
        <v>0</v>
      </c>
      <c r="AG31" s="1128">
        <f t="shared" si="13"/>
        <v>0</v>
      </c>
      <c r="AH31" s="1129">
        <f t="shared" si="13"/>
        <v>0</v>
      </c>
      <c r="AI31" s="1127">
        <f t="shared" si="13"/>
        <v>0</v>
      </c>
      <c r="AJ31" s="1117">
        <f t="shared" si="13"/>
        <v>126</v>
      </c>
      <c r="AK31" s="1117">
        <f t="shared" si="13"/>
        <v>160</v>
      </c>
      <c r="AL31" s="1117">
        <f t="shared" si="13"/>
        <v>0</v>
      </c>
      <c r="AM31" s="1130">
        <f t="shared" si="13"/>
        <v>0</v>
      </c>
      <c r="AN31" s="1120">
        <f>IF(ISNUMBER(Datos!K31/Datos!J31),Datos!K31/Datos!J31," - ")</f>
        <v>1.1007556675062973</v>
      </c>
      <c r="AO31" s="1120">
        <f>IF(ISNUMBER(FIND("06",Criterios!A8,1)),(IF(ISNUMBER(((Datos!R31/Datos!Q31)*11)/factor_trimestre),((Datos!R31/Datos!Q31)*11)/factor_trimestre," - ")),(IF(ISNUMBER(((Datos!L31/Datos!K31)*11)/factor_trimestre),((Datos!L31/Datos!K31)*11)/factor_trimestre," - ")))</f>
        <v>4.5583524027459958</v>
      </c>
      <c r="AP31" s="1131" t="str">
        <f>IF(ISNUMBER(Datos!CI31/Datos!CJ31),Datos!CI31/Datos!CJ31," - ")</f>
        <v xml:space="preserve"> - </v>
      </c>
      <c r="AQ31" s="1131">
        <f>IF(OR(ISNUMBER(FIND("01",Criterios!A8,1)),ISNUMBER(FIND("02",Criterios!A8,1)),ISNUMBER(FIND("03",Criterios!A8,1)),ISNUMBER(FIND("04",Criterios!A8,1))),(J31-Y31+K31)/(F31-K31),(I31-Y31+K31)/(F31-K31))</f>
        <v>-0.8666666666666667</v>
      </c>
      <c r="AR31" s="1131">
        <f>IF(ISNUMBER((Datos!P31-Datos!Q31+O31)/(Datos!R31-Datos!P31+Datos!Q31-O31)),(Datos!P31-Datos!Q31+O31)/(Datos!R31-Datos!P31+Datos!Q31-O31)," - ")</f>
        <v>3.8944723618090454E-2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127.82800945019835</v>
      </c>
      <c r="G33" s="674">
        <f>IF(ISNUMBER(STDEV(G8:G30)),STDEV(G8:G30),"-")</f>
        <v>124.61636367362874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36.170232433393544</v>
      </c>
      <c r="AK33" s="276"/>
      <c r="AL33" s="276">
        <f>IF(ISNUMBER(STDEV(AL8:AL30)),STDEV(AL8:AL30),"-")</f>
        <v>0</v>
      </c>
      <c r="AM33" s="278">
        <f>IF(ISNUMBER(STDEV(AM8:AM30)),STDEV(AM8:AM30),"-")</f>
        <v>0</v>
      </c>
      <c r="AN33" s="660">
        <f>IF(ISNUMBER(STDEV(AN8:AN30)),STDEV(AN8:AN30),"-")</f>
        <v>0</v>
      </c>
      <c r="AO33" s="661">
        <f>IF(ISNUMBER(STDEV(AO8:AO30)),STDEV(AO8:AO30),"-")</f>
        <v>2.7431227943339369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wP8b4iaqwkyTNKCRgZQ6/dJi2+gVd1ShtgrFm4cS5+Eb6oN6cBZzG65Ol/JmbZwffzZqCKAV7G9FRYdJDmNhw==" saltValue="/pP1j3Dnjn1S9EcbAkkD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MNlC3SI8plRfklYJ/kXNmUq78ruQcaIThHYzt337kFaJQjwj7WEK/nPif7/QUjlWlQHFaqcAgTm1vKUlH5kDg==" saltValue="5ssnT8OLsHYlPYkaCiqE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2h/mSsr0L/oOr2M3tw70m1/rTNPrWRkfLdZkYo+hBhiugyJ7462P0K5VJbGiLoQvO+UjKkrGeO9Sf+ibpQnBA==" saltValue="w2QYyyArtkleWQb6+H3/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VERIN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0.35169491525423729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0.24868585948509933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jKjvUrOpDnLG0ls3T82ZrcihKai/bghiUki2CF34JSPmv03GkuSpqDHLHmkHSdDeHfAqN/s9QUxr7fmcdkSTA==" saltValue="gdOYIVmK3M6eX17PxdZV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wV5zTMLbUvjJHoLK/NB/N8sfGtQHCLgDdhnbRtIrGubXElHY7PgjB4EdmSaX/clPVkHC36bMEJF9CQy3N+ZXw==" saltValue="zEE/ZiYwdZWLvxLMYMvO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VERIN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4</v>
      </c>
      <c r="F10" s="452">
        <f>IF(ISNUMBER(E10/B10),E10/B10," - ")</f>
        <v>4</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433</v>
      </c>
      <c r="D12" s="452">
        <f>IF(ISNUMBER(C12/Datos!BH12),C12/Datos!BH12," - ")</f>
        <v>216.5</v>
      </c>
      <c r="E12" s="451">
        <f>IF(ISNUMBER(IF(J_V="SI",Datos!J12,Datos!J12+Datos!Z12)),IF(J_V="SI",Datos!J12,Datos!J12+Datos!Z12)," - ")</f>
        <v>191</v>
      </c>
      <c r="F12" s="452">
        <f>IF(ISNUMBER(E12/B12),E12/B12," - ")</f>
        <v>95.5</v>
      </c>
      <c r="G12" s="451">
        <f>IF(ISNUMBER(IF(J_V="SI",Datos!K12,Datos!K12+Datos!AA12)),IF(J_V="SI",Datos!K12,Datos!K12+Datos!AA12)," - ")</f>
        <v>234</v>
      </c>
      <c r="H12" s="452">
        <f>IF(ISNUMBER(G12/B12),G12/B12," - ")</f>
        <v>117</v>
      </c>
      <c r="I12" s="451">
        <f>IF(ISNUMBER(IF(J_V="SI",Datos!L12,Datos!L12+Datos!AB12)),IF(J_V="SI",Datos!L12,Datos!L12+Datos!AB12)," - ")</f>
        <v>390</v>
      </c>
      <c r="J12" s="452">
        <f>IF(ISNUMBER(I12/B12),I12/B12," - ")</f>
        <v>195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438</v>
      </c>
      <c r="D14" s="1147" t="str">
        <f>IF(ISNUMBER(C14/Datos!BI14),C14/Datos!BI14," - ")</f>
        <v xml:space="preserve"> - </v>
      </c>
      <c r="E14" s="1146">
        <f>SUBTOTAL(9,E8:E13)</f>
        <v>195</v>
      </c>
      <c r="F14" s="1147">
        <f>IF(ISNUMBER(E14/B14),E14/B14," - ")</f>
        <v>97.5</v>
      </c>
      <c r="G14" s="1146">
        <f>SUBTOTAL(9,G8:G13)</f>
        <v>236</v>
      </c>
      <c r="H14" s="1147">
        <f>IF(ISNUMBER(G14/B14),G14/B14," - ")</f>
        <v>118</v>
      </c>
      <c r="I14" s="1146">
        <f>SUBTOTAL(9,I8:I13)</f>
        <v>397</v>
      </c>
      <c r="J14" s="1147">
        <f>IF(ISNUMBER(I14/B14),I14/B14," - ")</f>
        <v>198.5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192</v>
      </c>
      <c r="F17" s="452">
        <f>IF(ISNUMBER(E17/B17),E17/B17," - ")</f>
        <v>96</v>
      </c>
      <c r="G17" s="451">
        <f>IF(ISNUMBER(IF(D_I="SI",Datos!K17,Datos!K17+Datos!AE17)),IF(D_I="SI",Datos!K17,Datos!K17+Datos!AE17)," - ")</f>
        <v>184</v>
      </c>
      <c r="H17" s="452">
        <f>IF(ISNUMBER(G17/B17),G17/B17," - ")</f>
        <v>92</v>
      </c>
      <c r="I17" s="451">
        <f>IF(ISNUMBER(IF(D_I="SI",Datos!L17,Datos!L17+Datos!AF17)),IF(D_I="SI",Datos!L17,Datos!L17+Datos!AF17)," - ")</f>
        <v>258</v>
      </c>
      <c r="J17" s="452">
        <f>IF(ISNUMBER(I17/B17),I17/B17," - ")</f>
        <v>129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28</v>
      </c>
      <c r="F18" s="452">
        <f>IF(ISNUMBER(E18/B18),E18/B18," - ")</f>
        <v>28</v>
      </c>
      <c r="G18" s="451">
        <f>IF(ISNUMBER(IF(D_I="SI",Datos!K18,Datos!K18+Datos!AE18)),IF(D_I="SI",Datos!K18,Datos!K18+Datos!AE18)," - ")</f>
        <v>35</v>
      </c>
      <c r="H18" s="452">
        <f>IF(ISNUMBER(G18/B18),G18/B18," - ")</f>
        <v>35</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281</v>
      </c>
      <c r="D23" s="1147" t="str">
        <f>IF(ISNUMBER(C23/Datos!BI23),C23/Datos!BI23," - ")</f>
        <v xml:space="preserve"> - </v>
      </c>
      <c r="E23" s="1146">
        <f>SUBTOTAL(9,E15:E22)</f>
        <v>220</v>
      </c>
      <c r="F23" s="1147">
        <f>IF(ISNUMBER(E23/B23),E23/B23," - ")</f>
        <v>110</v>
      </c>
      <c r="G23" s="1146">
        <f>SUBTOTAL(9,G15:G22)</f>
        <v>219</v>
      </c>
      <c r="H23" s="1147">
        <f>IF(ISNUMBER(G23/B23),G23/B23," - ")</f>
        <v>109.5</v>
      </c>
      <c r="I23" s="1146">
        <f>SUBTOTAL(9,I15:I22)</f>
        <v>288</v>
      </c>
      <c r="J23" s="1147">
        <f>IF(ISNUMBER(I23/B23),I23/B23," - ")</f>
        <v>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719</v>
      </c>
      <c r="D31" s="1085" t="str">
        <f>IF(ISNUMBER(C31/Datos!BI31),C31/Datos!BI31," - ")</f>
        <v xml:space="preserve"> - </v>
      </c>
      <c r="E31" s="1084">
        <f>SUBTOTAL(9,E9:E30)</f>
        <v>415</v>
      </c>
      <c r="F31" s="1085">
        <f>IF(ISNUMBER(E31/B31),E31/B31," - ")</f>
        <v>207.5</v>
      </c>
      <c r="G31" s="1084">
        <f>SUBTOTAL(9,G9:G30)</f>
        <v>455</v>
      </c>
      <c r="H31" s="1085">
        <f>IF(ISNUMBER(G31/B31),G31/B31," - ")</f>
        <v>227.5</v>
      </c>
      <c r="I31" s="1084">
        <f>SUBTOTAL(9,I9:I30)</f>
        <v>685</v>
      </c>
      <c r="J31" s="1085">
        <f>IF(ISNUMBER(I31/B31),I31/B31," - ")</f>
        <v>342.5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CXimBCOSp/cdgEOVthhrFAcslmJnPOFMeQgigAotiG5igATx9cUyiudsHyHRMqpiQ0Gny/4QsyvFZPj6I01kA==" saltValue="fFgyfQrJ5b4ou59uLsvz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VERIN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5.0000000000000009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4.4502617801047119E-2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36</v>
      </c>
      <c r="AE14" s="1257">
        <f t="shared" si="1"/>
        <v>0</v>
      </c>
      <c r="AF14" s="1257">
        <f t="shared" si="1"/>
        <v>7</v>
      </c>
      <c r="AG14" s="1257">
        <f t="shared" si="1"/>
        <v>0</v>
      </c>
      <c r="AH14" s="1257">
        <f t="shared" si="1"/>
        <v>798</v>
      </c>
      <c r="AI14" s="1257">
        <f t="shared" si="1"/>
        <v>0</v>
      </c>
      <c r="AJ14" s="1257">
        <f t="shared" si="1"/>
        <v>0</v>
      </c>
      <c r="AK14" s="1257">
        <f t="shared" si="1"/>
        <v>0</v>
      </c>
      <c r="AL14" s="1257">
        <f t="shared" si="1"/>
        <v>83</v>
      </c>
      <c r="AM14" s="1257">
        <f t="shared" si="1"/>
        <v>64</v>
      </c>
      <c r="AN14" s="1257">
        <f t="shared" si="1"/>
        <v>0</v>
      </c>
      <c r="AO14" s="1257">
        <f t="shared" si="1"/>
        <v>0</v>
      </c>
      <c r="AP14" s="1262">
        <f>IF(ISNUMBER(((Datos!L14/Datos!K14)*11)/factor_trimestre),((Datos!L14/Datos!K14)*11)/factor_trimestre," - ")</f>
        <v>5.1743119266055055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4.4502617801047119E-2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3.9452054794520546</v>
      </c>
      <c r="AQ23" s="1262">
        <f>IF(ISNUMBER(((Datos!M23/Datos!L23)*11)/factor_trimestre),((Datos!M23/Datos!L23)*11)/factor_trimestre," - ")</f>
        <v>0.44791666666666669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-9.6774193548387094E-2</v>
      </c>
      <c r="AW23" s="1265">
        <f>IF(ISNUMBER((Datos!Q23-Datos!R23)/(Datos!S23-Datos!Q23+Datos!R23)),(Datos!Q23-Datos!R23)/(Datos!S23-Datos!Q23+Datos!R23)," - ")</f>
        <v>-4.3062200956937802E-2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36</v>
      </c>
      <c r="AE31" s="1284">
        <f t="shared" si="9"/>
        <v>0</v>
      </c>
      <c r="AF31" s="1285">
        <f t="shared" si="9"/>
        <v>7</v>
      </c>
      <c r="AG31" s="1285">
        <f t="shared" si="9"/>
        <v>0</v>
      </c>
      <c r="AH31" s="1285">
        <f t="shared" si="9"/>
        <v>798</v>
      </c>
      <c r="AI31" s="1285">
        <f t="shared" si="9"/>
        <v>0</v>
      </c>
      <c r="AJ31" s="1286">
        <f t="shared" si="9"/>
        <v>0</v>
      </c>
      <c r="AK31" s="1286">
        <f t="shared" si="9"/>
        <v>0</v>
      </c>
      <c r="AL31" s="1278">
        <f t="shared" si="9"/>
        <v>83</v>
      </c>
      <c r="AM31" s="1278">
        <f t="shared" si="9"/>
        <v>64</v>
      </c>
      <c r="AN31" s="1278">
        <f t="shared" si="9"/>
        <v>0</v>
      </c>
      <c r="AO31" s="1278">
        <f t="shared" si="9"/>
        <v>0</v>
      </c>
      <c r="AP31" s="1278">
        <f>IF(ISNUMBER(((Datos!L31/Datos!K31)*11)/factor_trimestre),((Datos!L31/Datos!K31)*11)/factor_trimestre," - ")</f>
        <v>4.5583524027459958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3.8944723618090454E-2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42.861015698028744</v>
      </c>
      <c r="AM33" s="1006"/>
      <c r="AN33" s="1006">
        <f>IF(ISNUMBER(STDEV(AN8:AN30)),STDEV(AN8:AN30),"-")</f>
        <v>0</v>
      </c>
      <c r="AO33" s="1012">
        <f>IF(ISNUMBER(STDEV(AO8:AO30)),STDEV(AO8:AO30),"-")</f>
        <v>0</v>
      </c>
      <c r="AP33" s="1065">
        <f>IF(ISNUMBER(STDEV(AP8:AP30)),STDEV(AP8:AP30),"-")</f>
        <v>2.9472015462196031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8aWY3yq6wA197LlAE91O+f6ebDxudMf74mHemtyylFK5eao8TmKCB3TpkbjyxbZhp7SoIJp8OxsUUZpkb77Tw==" saltValue="8LLqysB0oVgYAar/f1Nk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VERIN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Ykdb3wPaoBJiHvlKTiIyXw36KrWxw4U84I4WDXjj2i2uRbb8QXN2Athlk2dYJl2R5209aEOpkVLjOwvCAP7DQ==" saltValue="fpiY+L4S1zzdM+dBHFL9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VERIN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83</v>
      </c>
      <c r="E12" s="452">
        <f t="shared" si="0"/>
        <v>41.5</v>
      </c>
      <c r="F12" s="451">
        <f>IF(ISNUMBER(Datos!N12),Datos!N12," - ")</f>
        <v>64</v>
      </c>
      <c r="G12" s="452">
        <f t="shared" si="1"/>
        <v>32</v>
      </c>
      <c r="H12" s="451">
        <f>IF(ISNUMBER(Datos!O12),Datos!O12," - ")</f>
        <v>112</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83</v>
      </c>
      <c r="E14" s="1147">
        <f t="shared" si="0"/>
        <v>27.666666666666668</v>
      </c>
      <c r="F14" s="1146">
        <f>SUBTOTAL(9,F9:F13)</f>
        <v>64</v>
      </c>
      <c r="G14" s="1147">
        <f t="shared" si="1"/>
        <v>21.333333333333332</v>
      </c>
      <c r="H14" s="1146">
        <f>SUBTOTAL(9,H9:H13)</f>
        <v>112</v>
      </c>
      <c r="I14" s="1147">
        <f>IF(ISNUMBER(H14/B14),H14/B14," - ")</f>
        <v>37.333333333333336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78</v>
      </c>
      <c r="G17" s="452">
        <f t="shared" si="4"/>
        <v>39</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v>
      </c>
      <c r="E23" s="1147">
        <f t="shared" si="3"/>
        <v>14.333333333333334</v>
      </c>
      <c r="F23" s="1146">
        <f>SUBTOTAL(9,F16:F22)</f>
        <v>96</v>
      </c>
      <c r="G23" s="1147">
        <f t="shared" si="4"/>
        <v>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126</v>
      </c>
      <c r="E31" s="1085">
        <f>IF(ISNUMBER(D31/B31),D31/B31," - ")</f>
        <v>63</v>
      </c>
      <c r="F31" s="1084">
        <f>SUBTOTAL(9,F8:F30)</f>
        <v>160</v>
      </c>
      <c r="G31" s="1085">
        <f>IF(ISNUMBER(F31/B31),F31/B31," - ")</f>
        <v>80</v>
      </c>
      <c r="H31" s="1084">
        <f>SUBTOTAL(9,H8:H30)</f>
        <v>112</v>
      </c>
      <c r="I31" s="1085">
        <f>IF(ISNUMBER(H31/B31),H31/B31," - ")</f>
        <v>56</v>
      </c>
    </row>
    <row r="34" spans="1:1">
      <c r="A34" s="439" t="str">
        <f>Criterios!A4</f>
        <v>Fecha Informe: 06 may. 2023</v>
      </c>
    </row>
    <row r="39" spans="1:1">
      <c r="A39" s="462"/>
    </row>
  </sheetData>
  <sheetProtection algorithmName="SHA-512" hashValue="cnQALSOqqMnj3ubqAVBgRXInI/XmXLM9ecxTQ+EZ/DfDnQqlzqBYByxFxfV//1McxXP5i5m7Iymah52b6R6B+w==" saltValue="WOKYNKIWZyjNw90P/1KX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VERIN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36</v>
      </c>
      <c r="D12" s="456">
        <f>IF(ISNUMBER(Datos!R12),Datos!R12," - ")</f>
        <v>798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36</v>
      </c>
      <c r="D14" s="1148">
        <f>SUBTOTAL(9,D9:D13)</f>
        <v>799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10</v>
      </c>
      <c r="D17" s="456">
        <f>IF(ISNUMBER(Datos!R17),Datos!R17," - ")</f>
        <v>28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10</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46</v>
      </c>
      <c r="D31" s="1090">
        <f>SUBTOTAL(9,D8:D30)</f>
        <v>827</v>
      </c>
    </row>
    <row r="32" spans="1:4" ht="7.5" customHeight="1"/>
    <row r="33" spans="1:1" ht="6" customHeight="1"/>
    <row r="34" spans="1:1">
      <c r="A34" s="439" t="str">
        <f>Criterios!A4</f>
        <v>Fecha Informe: 06 may. 2023</v>
      </c>
    </row>
    <row r="39" spans="1:1">
      <c r="A39" s="462"/>
    </row>
  </sheetData>
  <sheetProtection algorithmName="SHA-512" hashValue="Fpk5fF0oYcaV3KVLwdWn+pQUnB7VNdVgttfjpUd3oqsFut7QYivTJm3loX9F4g4XvU8Ezel5JUBs8IP42ZW/IA==" saltValue="nsHf55w6ZTGxjZLu2lwX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VERIN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0.33333333333333331</v>
      </c>
      <c r="D10" s="515">
        <f>IF(ISNUMBER((Datos!K10-Datos!U10)/Datos!U10),(Datos!K10-Datos!U10)/Datos!U10," - ")</f>
        <v>1</v>
      </c>
      <c r="E10" s="515">
        <f>IF(ISNUMBER((Datos!L10-Datos!V10)/Datos!V10),(Datos!L10-Datos!V10)/Datos!V10," - ")</f>
        <v>-0.125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-0.5625</v>
      </c>
      <c r="J10" s="521">
        <f>IF(ISNUMBER((('Resol  Asuntos'!D10/NºAsuntos!G10)-Datos!BF10)/Datos!BF10),(('Resol  Asuntos'!D10/NºAsuntos!G10)-Datos!BF10)/Datos!BF10," - ")</f>
        <v>-1</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-0.23362831858407079</v>
      </c>
      <c r="C12" s="515">
        <f>IF(ISNUMBER(
   IF(J_V="SI",(Datos!J12-Datos!T12)/Datos!T12,(Datos!J12+Datos!Z12-(Datos!T12+Datos!AH12))/(Datos!T12+Datos!AH12))
     ),IF(J_V="SI",(Datos!J12-Datos!T12)/Datos!T12,(Datos!J12+Datos!Z12-(Datos!T12+Datos!AH12))/(Datos!T12+Datos!AH12))," - ")</f>
        <v>-0.33680555555555558</v>
      </c>
      <c r="D12" s="515">
        <f>IF(ISNUMBER(
   IF(J_V="SI",(Datos!K12-Datos!U12)/Datos!U12,(Datos!K12+Datos!AA12-(Datos!U12+Datos!AI12))/(Datos!U12+Datos!AI12))
     ),IF(J_V="SI",(Datos!K12-Datos!U12)/Datos!U12,(Datos!K12+Datos!AA12-(Datos!U12+Datos!AI12))/(Datos!U12+Datos!AI12))," - ")</f>
        <v>-8.59375E-2</v>
      </c>
      <c r="E12" s="515">
        <f>IF(ISNUMBER(
   IF(J_V="SI",(Datos!L12-Datos!V12)/Datos!V12,(Datos!L12+Datos!AB12-(Datos!V12+Datos!AJ12))/(Datos!V12+Datos!AJ12))
     ),IF(J_V="SI",(Datos!L12-Datos!V12)/Datos!V12,(Datos!L12+Datos!AB12-(Datos!V12+Datos!AJ12))/(Datos!V12+Datos!AJ12))," - ")</f>
        <v>-0.34673366834170855</v>
      </c>
      <c r="F12" s="515">
        <f>IF(ISNUMBER((Datos!M12-Datos!W12)/Datos!W12),(Datos!M12-Datos!W12)/Datos!W12," - ")</f>
        <v>0.43103448275862066</v>
      </c>
      <c r="G12" s="516">
        <f>IF(ISNUMBER((Datos!N12-Datos!X12)/Datos!X12),(Datos!N12-Datos!X12)/Datos!X12," - ")</f>
        <v>-0.2808988764044944</v>
      </c>
      <c r="H12" s="514">
        <f>IF(ISNUMBER(((NºAsuntos!G12/NºAsuntos!E12)-Datos!BD12)/Datos!BD12),((NºAsuntos!G12/NºAsuntos!E12)-Datos!BD12)/Datos!BD12," - ")</f>
        <v>0.37827225130890069</v>
      </c>
      <c r="I12" s="515">
        <f>IF(ISNUMBER(((NºAsuntos!I12/NºAsuntos!G12)-Datos!BE12)/Datos!BE12),((NºAsuntos!I12/NºAsuntos!G12)-Datos!BE12)/Datos!BE12," - ")</f>
        <v>-0.28531546621998882</v>
      </c>
      <c r="J12" s="521">
        <f>IF(ISNUMBER((('Resol  Asuntos'!D12/NºAsuntos!G12)-Datos!BF12)/Datos!BF12),(('Resol  Asuntos'!D12/NºAsuntos!G12)-Datos!BF12)/Datos!BF12," - ")</f>
        <v>2.0263132622683231E-2</v>
      </c>
      <c r="K12" s="522">
        <f>IF(ISNUMBER((((NºAsuntos!C12+NºAsuntos!E12)/NºAsuntos!G12)-Datos!BG12)/Datos!BG12),(((NºAsuntos!C12+NºAsuntos!E12)/NºAsuntos!G12)-Datos!BG12)/Datos!BG12," - ")</f>
        <v>-0.19968737788198521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-0.23292469352014011</v>
      </c>
      <c r="C14" s="1152">
        <f>IF(ISNUMBER(
   IF(J_V="SI",(Datos!J14-Datos!T14)/Datos!T14,(Datos!J14+Datos!Z14-(Datos!T14+Datos!AH14))/(Datos!T14+Datos!AH14))
     ),IF(J_V="SI",(Datos!J14-Datos!T14)/Datos!T14,(Datos!J14+Datos!Z14-(Datos!T14+Datos!AH14))/(Datos!T14+Datos!AH14))," - ")</f>
        <v>-0.32989690721649484</v>
      </c>
      <c r="D14" s="1152">
        <f>IF(ISNUMBER(
   IF(J_V="SI",(Datos!K14-Datos!U14)/Datos!U14,(Datos!K14+Datos!AA14-(Datos!U14+Datos!AI14))/(Datos!U14+Datos!AI14))
     ),IF(J_V="SI",(Datos!K14-Datos!U14)/Datos!U14,(Datos!K14+Datos!AA14-(Datos!U14+Datos!AI14))/(Datos!U14+Datos!AI14))," - ")</f>
        <v>-8.171206225680934E-2</v>
      </c>
      <c r="E14" s="1152">
        <f>IF(ISNUMBER(
   IF(J_V="SI",(Datos!L14-Datos!V14)/Datos!V14,(Datos!L14+Datos!AB14-(Datos!V14+Datos!AJ14))/(Datos!V14+Datos!AJ14))
     ),IF(J_V="SI",(Datos!L14-Datos!V14)/Datos!V14,(Datos!L14+Datos!AB14-(Datos!V14+Datos!AJ14))/(Datos!V14+Datos!AJ14))," - ")</f>
        <v>-0.34380165289256198</v>
      </c>
      <c r="F14" s="1153">
        <f>IF(ISNUMBER((Datos!M14-Datos!W14)/Datos!W14),(Datos!M14-Datos!W14)/Datos!W14," - ")</f>
        <v>0.40677966101694918</v>
      </c>
      <c r="G14" s="1154">
        <f>IF(ISNUMBER((Datos!N14-Datos!X14)/Datos!X14),(Datos!N14-Datos!X14)/Datos!X14," - ")</f>
        <v>-0.2808988764044944</v>
      </c>
      <c r="H14" s="1154">
        <f>IF(ISNUMBER(((NºAsuntos!G14/NºAsuntos!E14)-Datos!BD14)/Datos!BD14),((NºAsuntos!G14/NºAsuntos!E14)-Datos!BD14)/Datos!BD14," - ")</f>
        <v>0.37036815324753064</v>
      </c>
      <c r="I14" s="1154">
        <f>IF(ISNUMBER(((NºAsuntos!I14/NºAsuntos!G14)-Datos!BE14)/Datos!BE14),((NºAsuntos!I14/NºAsuntos!G14)-Datos!BE14)/Datos!BE14," - ")</f>
        <v>-0.2854111220058832</v>
      </c>
      <c r="J14" s="1154">
        <f>IF(ISNUMBER((('Resol  Asuntos'!D14/NºAsuntos!G14)-Datos!BF14)/Datos!BF14),(('Resol  Asuntos'!D14/NºAsuntos!G14)-Datos!BF14)/Datos!BF14," - ")</f>
        <v>4.2843691148776739E-3</v>
      </c>
      <c r="K14" s="1154">
        <f>IF(ISNUMBER((((NºAsuntos!C14+NºAsuntos!E14)/NºAsuntos!G14)-Datos!BG14)/Datos!BG14),(((NºAsuntos!C14+NºAsuntos!E14)/NºAsuntos!G14)-Datos!BG14)/Datos!BG14," - ")</f>
        <v>-0.20031755082779501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-0.32409972299168976</v>
      </c>
      <c r="C17" s="515">
        <f>IF(ISNUMBER(
   IF(D_I="SI",(Datos!J17-Datos!T17)/Datos!T17,(Datos!J17+Datos!AD17-(Datos!T17+Datos!AL17))/(Datos!T17+Datos!AL17))
     ),IF(D_I="SI",(Datos!J17-Datos!T17)/Datos!T17,(Datos!J17+Datos!AD17-(Datos!T17+Datos!AL17))/(Datos!T17+Datos!AL17))," - ")</f>
        <v>3.2258064516129031E-2</v>
      </c>
      <c r="D17" s="515">
        <f>IF(ISNUMBER(
   IF(D_I="SI",(Datos!K17-Datos!U17)/Datos!U17,(Datos!K17+Datos!AE17-(Datos!U17+Datos!AM17))/(Datos!U17+Datos!AM17))
     ),IF(D_I="SI",(Datos!K17-Datos!U17)/Datos!U17,(Datos!K17+Datos!AE17-(Datos!U17+Datos!AM17))/(Datos!U17+Datos!AM17))," - ")</f>
        <v>-0.30303030303030304</v>
      </c>
      <c r="E17" s="515">
        <f>IF(ISNUMBER(
   IF(D_I="SI",(Datos!L17-Datos!V17)/Datos!V17,(Datos!L17+Datos!AF17-(Datos!V17+Datos!AN17))/(Datos!V17+Datos!AN17))
     ),IF(D_I="SI",(Datos!L17-Datos!V17)/Datos!V17,(Datos!L17+Datos!AF17-(Datos!V17+Datos!AN17))/(Datos!V17+Datos!AN17))," - ")</f>
        <v>-8.8339222614840993E-2</v>
      </c>
      <c r="F17" s="515">
        <f>IF(ISNUMBER((Datos!M17-Datos!W17)/Datos!W17),(Datos!M17-Datos!W17)/Datos!W17," - ")</f>
        <v>-0.22448979591836735</v>
      </c>
      <c r="G17" s="516">
        <f>IF(ISNUMBER((Datos!N17-Datos!X17)/Datos!X17),(Datos!N17-Datos!X17)/Datos!X17," - ")</f>
        <v>-0.35537190082644626</v>
      </c>
      <c r="H17" s="514">
        <f>IF(ISNUMBER(((NºAsuntos!G17/NºAsuntos!E17)-Datos!BD17)/Datos!BD17),((NºAsuntos!G17/NºAsuntos!E17)-Datos!BD17)/Datos!BD17," - ")</f>
        <v>-0.32481060606060608</v>
      </c>
      <c r="I17" s="515">
        <f>IF(ISNUMBER(((NºAsuntos!I17/NºAsuntos!G17)-Datos!BE17)/Datos!BE17),((NºAsuntos!I17/NºAsuntos!G17)-Datos!BE17)/Datos!BE17," - ")</f>
        <v>0.30803502842218461</v>
      </c>
      <c r="J17" s="521">
        <f>IF(ISNUMBER((('Resol  Asuntos'!D17/NºAsuntos!G17)-Datos!BF17)/Datos!BF17),(('Resol  Asuntos'!D17/NºAsuntos!G17)-Datos!BF17)/Datos!BF17," - ")</f>
        <v>0.1126885536823425</v>
      </c>
      <c r="K17" s="522">
        <f>IF(ISNUMBER((((NºAsuntos!C17+NºAsuntos!E17)/NºAsuntos!G17)-Datos!BG17)/Datos!BG17),(((NºAsuntos!C17+NºAsuntos!E17)/NºAsuntos!G17)-Datos!BG17)/Datos!BG17," - ")</f>
        <v>0.14362928225101346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-5.128205128205128E-2</v>
      </c>
      <c r="C18" s="515">
        <f>IF(ISNUMBER(
   IF(D_I="SI",(Datos!J18-Datos!T18)/Datos!T18,(Datos!J18+Datos!AD18-(Datos!T18+Datos!AL18))/(Datos!T18+Datos!AL18))
     ),IF(D_I="SI",(Datos!J18-Datos!T18)/Datos!T18,(Datos!J18+Datos!AD18-(Datos!T18+Datos!AL18))/(Datos!T18+Datos!AL18))," - ")</f>
        <v>0.6470588235294118</v>
      </c>
      <c r="D18" s="515">
        <f>IF(ISNUMBER(
   IF(D_I="SI",(Datos!K18-Datos!U18)/Datos!U18,(Datos!K18+Datos!AE18-(Datos!U18+Datos!AM18))/(Datos!U18+Datos!AM18))
     ),IF(D_I="SI",(Datos!K18-Datos!U18)/Datos!U18,(Datos!K18+Datos!AE18-(Datos!U18+Datos!AM18))/(Datos!U18+Datos!AM18))," - ")</f>
        <v>0.84210526315789469</v>
      </c>
      <c r="E18" s="515">
        <f>IF(ISNUMBER(
   IF(D_I="SI",(Datos!L18-Datos!V18)/Datos!V18,(Datos!L18+Datos!AF18-(Datos!V18+Datos!AN18))/(Datos!V18+Datos!AN18))
     ),IF(D_I="SI",(Datos!L18-Datos!V18)/Datos!V18,(Datos!L18+Datos!AF18-(Datos!V18+Datos!AN18))/(Datos!V18+Datos!AN18))," - ")</f>
        <v>-0.1891891891891892</v>
      </c>
      <c r="F18" s="515">
        <f>IF(ISNUMBER((Datos!M18-Datos!W18)/Datos!W18),(Datos!M18-Datos!W18)/Datos!W18," - ")</f>
        <v>4</v>
      </c>
      <c r="G18" s="516">
        <f>IF(ISNUMBER((Datos!N18-Datos!X18)/Datos!X18),(Datos!N18-Datos!X18)/Datos!X18," - ")</f>
        <v>0.63636363636363635</v>
      </c>
      <c r="H18" s="514">
        <f>IF(ISNUMBER(((NºAsuntos!G18/NºAsuntos!E18)-Datos!BD18)/Datos!BD18),((NºAsuntos!G18/NºAsuntos!E18)-Datos!BD18)/Datos!BD18," - ")</f>
        <v>0.11842105263157893</v>
      </c>
      <c r="I18" s="515">
        <f>IF(ISNUMBER(((NºAsuntos!I18/NºAsuntos!G18)-Datos!BE18)/Datos!BE18),((NºAsuntos!I18/NºAsuntos!G18)-Datos!BE18)/Datos!BE18," - ")</f>
        <v>-0.55984555984555995</v>
      </c>
      <c r="J18" s="521">
        <f>IF(ISNUMBER((('Resol  Asuntos'!D18/NºAsuntos!G18)-Datos!BF18)/Datos!BF18),(('Resol  Asuntos'!D18/NºAsuntos!G18)-Datos!BF18)/Datos!BF18," - ")</f>
        <v>1.7142857142857142</v>
      </c>
      <c r="K18" s="522">
        <f>IF(ISNUMBER((((NºAsuntos!C18+NºAsuntos!E18)/NºAsuntos!G18)-Datos!BG18)/Datos!BG18),(((NºAsuntos!C18+NºAsuntos!E18)/NºAsuntos!G18)-Datos!BG18)/Datos!BG18," - ")</f>
        <v>-0.36989795918367341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-0.29749999999999999</v>
      </c>
      <c r="C23" s="1152">
        <f>IF(ISNUMBER(
   IF(Criterios!B14="SI",(Datos!J23-Datos!T23)/Datos!T23,(Datos!J23+Datos!AD23-(Datos!T23+Datos!AL23))/(Datos!T23+Datos!AL23))
     ),IF(Criterios!B14="SI",(Datos!J23-Datos!T23)/Datos!T23,(Datos!J23+Datos!AD23-(Datos!T23+Datos!AL23))/(Datos!T23+Datos!AL23))," - ")</f>
        <v>8.3743842364532015E-2</v>
      </c>
      <c r="D23" s="1152">
        <f>IF(ISNUMBER(
   IF(Criterios!B14="SI",(Datos!K23-Datos!U23)/Datos!U23,(Datos!K23+Datos!AE23-(Datos!U23+Datos!AM23))/(Datos!U23+Datos!AM23))
     ),IF(Criterios!B14="SI",(Datos!K23-Datos!U23)/Datos!U23,(Datos!K23+Datos!AE23-(Datos!U23+Datos!AM23))/(Datos!U23+Datos!AM23))," - ")</f>
        <v>-0.22614840989399293</v>
      </c>
      <c r="E23" s="1152">
        <f>IF(ISNUMBER(
   IF(Criterios!B14="SI",(Datos!L23-Datos!V23)/Datos!V23,(Datos!L23+Datos!AF23-(Datos!V23+Datos!AN23))/(Datos!V23+Datos!AN23))
     ),IF(Criterios!B14="SI",(Datos!L23-Datos!V23)/Datos!V23,(Datos!L23+Datos!AF23-(Datos!V23+Datos!AN23))/(Datos!V23+Datos!AN23))," - ")</f>
        <v>-0.1</v>
      </c>
      <c r="F23" s="1153">
        <f>IF(ISNUMBER((Datos!M23-Datos!W23)/Datos!W23),(Datos!M23-Datos!W23)/Datos!W23," - ")</f>
        <v>-0.14000000000000001</v>
      </c>
      <c r="G23" s="1154">
        <f>IF(ISNUMBER((Datos!N23-Datos!X23)/Datos!X23),(Datos!N23-Datos!X23)/Datos!X23," - ")</f>
        <v>-0.27272727272727271</v>
      </c>
      <c r="H23" s="1154">
        <f>IF(ISNUMBER(((NºAsuntos!G23/NºAsuntos!E23)-Datos!BD23)/Datos!BD23),((NºAsuntos!G23/NºAsuntos!E23)-Datos!BD23)/Datos!BD23," - ")</f>
        <v>-0.2859460327658207</v>
      </c>
      <c r="I23" s="1154">
        <f>IF(ISNUMBER(((NºAsuntos!I23/NºAsuntos!G23)-Datos!BE23)/Datos!BE23),((NºAsuntos!I23/NºAsuntos!G23)-Datos!BE23)/Datos!BE23," - ")</f>
        <v>0.16301369863013687</v>
      </c>
      <c r="J23" s="1154">
        <f>IF(ISNUMBER((('Resol  Asuntos'!D23/NºAsuntos!G23)-Datos!BF23)/Datos!BF23),(('Resol  Asuntos'!D23/NºAsuntos!G23)-Datos!BF23)/Datos!BF23," - ")</f>
        <v>0.11132420091324191</v>
      </c>
      <c r="K23" s="1154">
        <f>IF(ISNUMBER((((NºAsuntos!C23+NºAsuntos!E23)/NºAsuntos!G23)-Datos!BG23)/Datos!BG23),(((NºAsuntos!C23+NºAsuntos!E23)/NºAsuntos!G23)-Datos!BG23)/Datos!BG23," - ")</f>
        <v>7.3650014766350788E-2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-0.25952626158599384</v>
      </c>
      <c r="C31" s="1092">
        <f>IF(ISNUMBER(
   IF(J_V="SI",(Datos!J31-Datos!T31)/Datos!T31,(Datos!J31+Datos!Z31-(Datos!T31+Datos!AH31))/(Datos!T31+Datos!AH31))
     ),IF(J_V="SI",(Datos!J31-Datos!T31)/Datos!T31,(Datos!J31+Datos!Z31-(Datos!T31+Datos!AH31))/(Datos!T31+Datos!AH31))," - ")</f>
        <v>-0.15991902834008098</v>
      </c>
      <c r="D31" s="1092">
        <f>IF(ISNUMBER(
   IF(J_V="SI",(Datos!K31-Datos!U31)/Datos!U31,(Datos!K31+Datos!AA31-(Datos!U31+Datos!AI31))/(Datos!U31+Datos!AI31))
     ),IF(J_V="SI",(Datos!K31-Datos!U31)/Datos!U31,(Datos!K31+Datos!AA31-(Datos!U31+Datos!AI31))/(Datos!U31+Datos!AI31))," - ")</f>
        <v>-0.15740740740740741</v>
      </c>
      <c r="E31" s="1092">
        <f>IF(ISNUMBER(
   IF(J_V="SI",(Datos!L31-Datos!V31)/Datos!V31,(Datos!L31+Datos!AB31-(Datos!V31+Datos!AJ31))/(Datos!V31+Datos!AJ31))
     ),IF(J_V="SI",(Datos!L31-Datos!V31)/Datos!V31,(Datos!L31+Datos!AB31-(Datos!V31+Datos!AJ31))/(Datos!V31+Datos!AJ31))," - ")</f>
        <v>-0.25945945945945947</v>
      </c>
      <c r="F31" s="1093">
        <f>IF(ISNUMBER((Datos!M31-Datos!W31)/Datos!W31),(Datos!M31-Datos!W31)/Datos!W31," - ")</f>
        <v>0.15596330275229359</v>
      </c>
      <c r="G31" s="1094">
        <f>IF(ISNUMBER((Datos!N31-Datos!X31)/Datos!X31),(Datos!N31-Datos!X31)/Datos!X31," - ")</f>
        <v>-0.27601809954751133</v>
      </c>
      <c r="H31" s="1095">
        <f>IF(ISNUMBER((Tasas!B31-Datos!BD31)/Datos!BD31),(Tasas!B31-Datos!BD31)/Datos!BD31," - ")</f>
        <v>2.9897367246764714E-3</v>
      </c>
      <c r="I31" s="1096">
        <f>IF(ISNUMBER((Tasas!C31-Datos!BE31)/Datos!BE31),(Tasas!C31-Datos!BE31)/Datos!BE31," - ")</f>
        <v>-0.12111672111672116</v>
      </c>
      <c r="J31" s="1097">
        <f>IF(ISNUMBER((Tasas!D31-Datos!BF31)/Datos!BF31),(Tasas!D31-Datos!BF31)/Datos!BF31," - ")</f>
        <v>6.8131868131868251E-2</v>
      </c>
      <c r="K31" s="1097">
        <f>IF(ISNUMBER((Tasas!E31-Datos!BG31)/Datos!BG31),(Tasas!E31-Datos!BG31)/Datos!BG31," - ")</f>
        <v>-8.1333683381464891E-2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Af4wQ3qRLnaZZuQBN/xFxyaGGO5q0hVXD8Rbn5klkgoE/B2qo/1j2ee4fpNkwMPjIwxedsifjv1cTFWLaWEiA==" saltValue="17obja86H9YIwYa43T8D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VERIN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3.5</v>
      </c>
      <c r="D10" s="499">
        <f>IF(ISNUMBER('Resol  Asuntos'!D10/NºAsuntos!G10),'Resol  Asuntos'!D10/NºAsuntos!G10," - ")</f>
        <v>0</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1.2251308900523561</v>
      </c>
      <c r="C12" s="498">
        <f>IF(ISNUMBER(NºAsuntos!I12/NºAsuntos!G12),NºAsuntos!I12/NºAsuntos!G12," - ")</f>
        <v>1.6666666666666667</v>
      </c>
      <c r="D12" s="499">
        <f>IF(ISNUMBER('Resol  Asuntos'!D12/NºAsuntos!G12),'Resol  Asuntos'!D12/NºAsuntos!G12," - ")</f>
        <v>0.35470085470085472</v>
      </c>
      <c r="E12" s="500">
        <f>IF(ISNUMBER((NºAsuntos!C12+NºAsuntos!E12)/NºAsuntos!G12),(NºAsuntos!C12+NºAsuntos!E12)/NºAsuntos!G12," - ")</f>
        <v>2.6666666666666665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1.2102564102564102</v>
      </c>
      <c r="C14" s="1156">
        <f>IF(ISNUMBER(NºAsuntos!I14/NºAsuntos!G14),NºAsuntos!I14/NºAsuntos!G14," - ")</f>
        <v>1.6822033898305084</v>
      </c>
      <c r="D14" s="1157">
        <f>IF(ISNUMBER('Resol  Asuntos'!D14/NºAsuntos!G14),'Resol  Asuntos'!D14/NºAsuntos!G14," - ")</f>
        <v>0.35169491525423729</v>
      </c>
      <c r="E14" s="1158">
        <f>IF(ISNUMBER((NºAsuntos!C14+NºAsuntos!E14)/NºAsuntos!G14),(NºAsuntos!C14+NºAsuntos!E14)/NºAsuntos!G14," - ")</f>
        <v>2.6822033898305087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0.95833333333333337</v>
      </c>
      <c r="C17" s="498">
        <f>IF(ISNUMBER(NºAsuntos!I17/NºAsuntos!G17),NºAsuntos!I17/NºAsuntos!G17," - ")</f>
        <v>1.4021739130434783</v>
      </c>
      <c r="D17" s="499">
        <f>IF(ISNUMBER('Resol  Asuntos'!D17/NºAsuntos!G17),'Resol  Asuntos'!D17/NºAsuntos!G17," - ")</f>
        <v>0.20652173913043478</v>
      </c>
      <c r="E17" s="500">
        <f>IF(ISNUMBER((NºAsuntos!C17+NºAsuntos!E17)/NºAsuntos!G17),(NºAsuntos!C17+NºAsuntos!E17)/NºAsuntos!G17," - ")</f>
        <v>2.3695652173913042</v>
      </c>
      <c r="G17" s="523"/>
    </row>
    <row r="18" spans="1:7">
      <c r="A18" s="450" t="str">
        <f>Datos!A18</f>
        <v>Jdos. Violencia contra la mujer</v>
      </c>
      <c r="B18" s="497">
        <f>IF(ISNUMBER(NºAsuntos!G18/NºAsuntos!E18),NºAsuntos!G18/NºAsuntos!E18," - ")</f>
        <v>1.25</v>
      </c>
      <c r="C18" s="498">
        <f>IF(ISNUMBER(NºAsuntos!I18/NºAsuntos!G18),NºAsuntos!I18/NºAsuntos!G18," - ")</f>
        <v>0.8571428571428571</v>
      </c>
      <c r="D18" s="499">
        <f>IF(ISNUMBER('Resol  Asuntos'!D18/NºAsuntos!G18),'Resol  Asuntos'!D18/NºAsuntos!G18," - ")</f>
        <v>0.14285714285714285</v>
      </c>
      <c r="E18" s="500">
        <f>IF(ISNUMBER((NºAsuntos!C18+NºAsuntos!E18)/NºAsuntos!G18),(NºAsuntos!C18+NºAsuntos!E18)/NºAsuntos!G18," - ")</f>
        <v>1.8571428571428572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0.99545454545454548</v>
      </c>
      <c r="C23" s="1156">
        <f>IF(ISNUMBER(NºAsuntos!I23/NºAsuntos!G23),NºAsuntos!I23/NºAsuntos!G23," - ")</f>
        <v>1.3150684931506849</v>
      </c>
      <c r="D23" s="1159">
        <f>IF(ISNUMBER('Resol  Asuntos'!D23/NºAsuntos!G23),'Resol  Asuntos'!D23/NºAsuntos!G23," - ")</f>
        <v>0.19634703196347031</v>
      </c>
      <c r="E23" s="1158">
        <f>IF(ISNUMBER((NºAsuntos!C23+NºAsuntos!E23)/NºAsuntos!G23),(NºAsuntos!C23+NºAsuntos!E23)/NºAsuntos!G23," - ")</f>
        <v>2.2876712328767121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1.0963855421686748</v>
      </c>
      <c r="C31" s="1099">
        <f>IF(ISNUMBER(NºAsuntos!I31/NºAsuntos!G31),NºAsuntos!I31/NºAsuntos!G31," - ")</f>
        <v>1.5054945054945055</v>
      </c>
      <c r="D31" s="1100">
        <f>IF(ISNUMBER('Resol  Asuntos'!D31/NºAsuntos!G31),'Resol  Asuntos'!D31/NºAsuntos!G31," - ")</f>
        <v>0.27692307692307694</v>
      </c>
      <c r="E31" s="1101">
        <f>IF(ISNUMBER((NºAsuntos!C31+NºAsuntos!E31)/NºAsuntos!G31),(NºAsuntos!C31+NºAsuntos!E31)/NºAsuntos!G31," - ")</f>
        <v>2.4923076923076923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bn3n7JusQiq4ntzl+YljqY7P3gkG6/yd14tYvC/PhmnAHwX3bEGlIeYwPxPuqPxkBlZaekpJnIptKXFPLDeIA==" saltValue="5kS4L4kLYIiGSQAxDQmh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VERIN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10.5</v>
      </c>
      <c r="AN10" s="267">
        <f>IF(ISNUMBER('Resol  Asuntos'!D10/NºAsuntos!G10),'Resol  Asuntos'!D10/NºAsuntos!G10," - ")</f>
        <v>0</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1.2251308900523561</v>
      </c>
      <c r="AM12" s="284">
        <f>IF(ISNUMBER(((NºAsuntos!I12/NºAsuntos!G12)*11)/factor_trimestre),((NºAsuntos!I12/NºAsuntos!G12)*11)/factor_trimestre," - ")</f>
        <v>5.0000000000000009</v>
      </c>
      <c r="AN12" s="267">
        <f>IF(ISNUMBER('Resol  Asuntos'!D12/NºAsuntos!G12),'Resol  Asuntos'!D12/NºAsuntos!G12," - ")</f>
        <v>0.35470085470085472</v>
      </c>
      <c r="AO12" s="268">
        <f>IF(ISNUMBER((NºAsuntos!C12+NºAsuntos!E12)/NºAsuntos!G12),(NºAsuntos!C12+NºAsuntos!E12)/NºAsuntos!G12," - ")</f>
        <v>2.6666666666666665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36</v>
      </c>
      <c r="Y14" s="1165">
        <f t="shared" si="6"/>
        <v>38</v>
      </c>
      <c r="Z14" s="1165">
        <f t="shared" si="6"/>
        <v>0</v>
      </c>
      <c r="AA14" s="1165">
        <f t="shared" si="6"/>
        <v>7</v>
      </c>
      <c r="AB14" s="1165">
        <f t="shared" si="6"/>
        <v>799</v>
      </c>
      <c r="AC14" s="1165">
        <f t="shared" si="6"/>
        <v>8</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1.2102564102564102</v>
      </c>
      <c r="AM14" s="1171">
        <f>IF(ISNUMBER(((NºAsuntos!I14/NºAsuntos!G14)*11)/factor_trimestre),((NºAsuntos!I14/NºAsuntos!G14)*11)/factor_trimestre," - ")</f>
        <v>5.0466101694915251</v>
      </c>
      <c r="AN14" s="1172">
        <f>IF(ISNUMBER('Resol  Asuntos'!D14/NºAsuntos!G14),'Resol  Asuntos'!D14/NºAsuntos!G14," - ")</f>
        <v>0.35169491525423729</v>
      </c>
      <c r="AO14" s="1173">
        <f>IF(ISNUMBER((NºAsuntos!C14+NºAsuntos!E14)/NºAsuntos!G14),(NºAsuntos!C14+NºAsuntos!E14)/NºAsuntos!G14," - ")</f>
        <v>2.6822033898305087</v>
      </c>
      <c r="AP14" s="1174" t="str">
        <f t="shared" si="2"/>
        <v xml:space="preserve"> - </v>
      </c>
      <c r="AQ14" s="1174">
        <f>IF(ISNUMBER((H14-W14+K14)/(F14)),(H14-W14+K14)/(F14)," - ")</f>
        <v>-0.4</v>
      </c>
      <c r="AR14" s="1175">
        <f>IF(ISNUMBER((Datos!P14-Datos!Q14)/(Datos!R14-Datos!P14+Datos!Q14)),(Datos!P14-Datos!Q14)/(Datos!R14-Datos!P14+Datos!Q14)," - ")</f>
        <v>4.4444444444444446E-2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250</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184</v>
      </c>
      <c r="X17" s="240">
        <f>IF(ISNUMBER(Datos!Q17),Datos!Q17," - ")</f>
        <v>10</v>
      </c>
      <c r="Y17" s="374">
        <f t="shared" ref="Y17:Y22" si="9">SUM(W17:X17)</f>
        <v>194</v>
      </c>
      <c r="Z17" s="375" t="str">
        <f>IF(ISNUMBER(Datos!CC17),Datos!CC17," - ")</f>
        <v xml:space="preserve"> - </v>
      </c>
      <c r="AA17" s="372">
        <f>IF(ISNUMBER(IF(D_I="SI",Datos!L17,Datos!L17+Datos!AF17)),IF(D_I="SI",Datos!L17,Datos!L17+Datos!AF17)," - ")</f>
        <v>258</v>
      </c>
      <c r="AB17" s="374">
        <f>IF(ISNUMBER(Datos!R17),Datos!R17," - ")</f>
        <v>28</v>
      </c>
      <c r="AC17" s="374">
        <f t="shared" si="8"/>
        <v>286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0.95833333333333337</v>
      </c>
      <c r="AM17" s="284">
        <f>IF(ISNUMBER(((NºAsuntos!I17/NºAsuntos!G17)*11)/factor_trimestre),((NºAsuntos!I17/NºAsuntos!G17)*11)/factor_trimestre," - ")</f>
        <v>4.2065217391304355</v>
      </c>
      <c r="AN17" s="267">
        <f>IF(ISNUMBER('Resol  Asuntos'!D17/NºAsuntos!G17),'Resol  Asuntos'!D17/NºAsuntos!G17," - ")</f>
        <v>0.20652173913043478</v>
      </c>
      <c r="AO17" s="268">
        <f>IF(ISNUMBER((NºAsuntos!C17+NºAsuntos!E17)/NºAsuntos!G17),(NºAsuntos!C17+NºAsuntos!E17)/NºAsuntos!G17," - ")</f>
        <v>2.3695652173913042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2.5714285714285716</v>
      </c>
      <c r="AN18" s="267">
        <f>IF(ISNUMBER('Resol  Asuntos'!D18/NºAsuntos!G18),'Resol  Asuntos'!D18/NºAsuntos!G18," - ")</f>
        <v>0.14285714285714285</v>
      </c>
      <c r="AO18" s="268">
        <f>IF(ISNUMBER((NºAsuntos!C18+NºAsuntos!E18)/NºAsuntos!G18),(NºAsuntos!C18+NºAsuntos!E18)/NºAsuntos!G18," - ")</f>
        <v>1.8571428571428572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250</v>
      </c>
      <c r="G23" s="1163">
        <f>SUBTOTAL(9,G16:G22)</f>
        <v>281</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219</v>
      </c>
      <c r="X23" s="1164">
        <f t="shared" si="14"/>
        <v>10</v>
      </c>
      <c r="Y23" s="1165">
        <f t="shared" si="14"/>
        <v>229</v>
      </c>
      <c r="Z23" s="1165">
        <f t="shared" si="14"/>
        <v>0</v>
      </c>
      <c r="AA23" s="1165">
        <f t="shared" si="14"/>
        <v>288</v>
      </c>
      <c r="AB23" s="1165">
        <f t="shared" si="14"/>
        <v>28</v>
      </c>
      <c r="AC23" s="1165">
        <f t="shared" si="14"/>
        <v>316</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0.99545454545454548</v>
      </c>
      <c r="AM23" s="1171">
        <f>IF(ISNUMBER(((NºAsuntos!I23/NºAsuntos!G23)*11)/factor_trimestre),((NºAsuntos!I23/NºAsuntos!G23)*11)/factor_trimestre," - ")</f>
        <v>3.9452054794520546</v>
      </c>
      <c r="AN23" s="1172">
        <f>IF(ISNUMBER('Resol  Asuntos'!D23/NºAsuntos!G23),'Resol  Asuntos'!D23/NºAsuntos!G23," - ")</f>
        <v>0.19634703196347031</v>
      </c>
      <c r="AO23" s="1173">
        <f>IF(ISNUMBER((NºAsuntos!C23+NºAsuntos!E23)/NºAsuntos!G23),(NºAsuntos!C23+NºAsuntos!E23)/NºAsuntos!G23," - ")</f>
        <v>2.2876712328767121</v>
      </c>
      <c r="AP23" s="1174" t="str">
        <f t="shared" si="2"/>
        <v xml:space="preserve"> - </v>
      </c>
      <c r="AQ23" s="1174">
        <f>IF(ISNUMBER((H23-W23+K23)/(F23)),(H23-W23+K23)/(F23)," - ")</f>
        <v>-0.876</v>
      </c>
      <c r="AR23" s="1175">
        <f>IF(ISNUMBER((Datos!P23-Datos!Q23)/(Datos!R23-Datos!P23+Datos!Q23)),(Datos!P23-Datos!Q23)/(Datos!R23-Datos!P23+Datos!Q23)," - ")</f>
        <v>-9.6774193548387094E-2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255</v>
      </c>
      <c r="G31" s="1118">
        <f t="shared" si="20"/>
        <v>286</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221</v>
      </c>
      <c r="X31" s="1118">
        <f t="shared" si="21"/>
        <v>46</v>
      </c>
      <c r="Y31" s="1125">
        <f t="shared" si="21"/>
        <v>267</v>
      </c>
      <c r="Z31" s="1125">
        <f t="shared" si="21"/>
        <v>0</v>
      </c>
      <c r="AA31" s="1125">
        <f t="shared" si="21"/>
        <v>295</v>
      </c>
      <c r="AB31" s="1125">
        <f t="shared" si="21"/>
        <v>827</v>
      </c>
      <c r="AC31" s="1125">
        <f t="shared" si="21"/>
        <v>324</v>
      </c>
      <c r="AD31" s="1125">
        <f t="shared" si="21"/>
        <v>0</v>
      </c>
      <c r="AE31" s="1127">
        <f t="shared" si="21"/>
        <v>0</v>
      </c>
      <c r="AF31" s="1128">
        <f t="shared" si="21"/>
        <v>0</v>
      </c>
      <c r="AG31" s="1129">
        <f t="shared" si="21"/>
        <v>0</v>
      </c>
      <c r="AH31" s="1127">
        <f t="shared" si="21"/>
        <v>0</v>
      </c>
      <c r="AI31" s="1117">
        <f t="shared" si="21"/>
        <v>126</v>
      </c>
      <c r="AJ31" s="1117">
        <f t="shared" si="21"/>
        <v>0</v>
      </c>
      <c r="AK31" s="1127">
        <f t="shared" si="21"/>
        <v>0</v>
      </c>
      <c r="AL31" s="1183">
        <f>IF(ISNUMBER(NºAsuntos!G31/NºAsuntos!E31),NºAsuntos!G31/NºAsuntos!E31," - ")</f>
        <v>1.0963855421686748</v>
      </c>
      <c r="AM31" s="1184">
        <f>IF(ISNUMBER(((NºAsuntos!I31/NºAsuntos!G31)*11)/factor_trimestre),((NºAsuntos!I31/NºAsuntos!G31)*11)/factor_trimestre," - ")</f>
        <v>4.5164835164835173</v>
      </c>
      <c r="AN31" s="1184">
        <f>IF(ISNUMBER('Resol  Asuntos'!D31/NºAsuntos!G31),'Resol  Asuntos'!D31/NºAsuntos!G31," - ")</f>
        <v>0.27692307692307694</v>
      </c>
      <c r="AO31" s="1185">
        <f>IF(ISNUMBER((NºAsuntos!C31+NºAsuntos!E31)/NºAsuntos!G31),(NºAsuntos!C31+NºAsuntos!E31)/NºAsuntos!G31," - ")</f>
        <v>2.4923076923076923</v>
      </c>
      <c r="AP31" s="1186" t="str">
        <f t="shared" si="2"/>
        <v xml:space="preserve"> - </v>
      </c>
      <c r="AQ31" s="1187">
        <f>IF(OR(ISNUMBER(FIND("01",Criterios!A8,1)),ISNUMBER(FIND("02",Criterios!A8,1)),ISNUMBER(FIND("03",Criterios!A8,1)),ISNUMBER(FIND("04",Criterios!A8,1))),(I31-W31+K31)/(F31-K31),(H31-W31+K31)/(F31-K31))</f>
        <v>-0.8666666666666667</v>
      </c>
      <c r="AR31" s="1188">
        <f>IF(ISNUMBER((Datos!P31-Datos!Q31)/(Datos!R31-Datos!P31+Datos!Q31)),(Datos!P31-Datos!Q31)/(Datos!R31-Datos!P31+Datos!Q31)," - ")</f>
        <v>3.8944723618090454E-2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127.82800945019835</v>
      </c>
      <c r="G33" s="277">
        <f>IF(ISNUMBER(STDEV(G8:G30)),STDEV(G8:G30),"-")</f>
        <v>124.61636367362874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95.865232786150671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36.170232433393544</v>
      </c>
      <c r="AJ33" s="276">
        <f t="shared" si="25"/>
        <v>0</v>
      </c>
      <c r="AK33" s="278">
        <f t="shared" si="25"/>
        <v>0</v>
      </c>
      <c r="AL33" s="273">
        <f t="shared" si="25"/>
        <v>0.2849281170979972</v>
      </c>
      <c r="AM33" s="274">
        <f t="shared" si="25"/>
        <v>2.7431227943339369</v>
      </c>
      <c r="AN33" s="274">
        <f t="shared" si="25"/>
        <v>0.13402395816880919</v>
      </c>
      <c r="AO33" s="275">
        <f t="shared" si="25"/>
        <v>0.91941246735752635</v>
      </c>
      <c r="AP33" s="317" t="str">
        <f t="shared" si="25"/>
        <v>-</v>
      </c>
      <c r="AQ33" s="318">
        <f t="shared" si="25"/>
        <v>0.33658282784479654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T7eOiB4I+DiG43fr9hypQ4KMtKTgzXXqoM9nqLWR7GrZZ2ch8GdN/p/nBd0j6xBWAfhLxCh6SpC1ZgK/kn0+Q==" saltValue="RCZ5wxirPXcOUrcyt7qk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VERIN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0.33333333333333331</v>
      </c>
      <c r="F10" s="393">
        <f>IF(ISNUMBER((Datos!K10-Datos!U10)/Datos!U10),(Datos!K10-Datos!U10)/Datos!U10," - ")</f>
        <v>1</v>
      </c>
      <c r="G10" s="394">
        <f>IF(ISNUMBER((Datos!L10-Datos!V10)/Datos!V10),(Datos!L10-Datos!V10)/Datos!V10," - ")</f>
        <v>-0.125</v>
      </c>
      <c r="H10" s="244">
        <f>IF(ISNUMBER((Datos!M10-Datos!W10)/Datos!W10),(Datos!M10-Datos!W10)/Datos!W10," - ")</f>
        <v>-1</v>
      </c>
      <c r="I10" s="395">
        <f>IF(ISNUMBER((Tasas!C10-Datos!BE10)/Datos!BE10),(Tasas!C10-Datos!BE10)/Datos!BE10," - ")</f>
        <v>-0.5625</v>
      </c>
      <c r="J10" s="394">
        <f>IF(ISNUMBER((Tasas!D10-Datos!BF10)/Datos!BF10),(Tasas!D10-Datos!BF10)/Datos!BF10," - ")</f>
        <v>-1</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0.43103448275862066</v>
      </c>
      <c r="I12" s="395">
        <f>IF(ISNUMBER((Tasas!C12-Datos!BE12)/Datos!BE12),(Tasas!C12-Datos!BE12)/Datos!BE12," - ")</f>
        <v>-0.28531546621998882</v>
      </c>
      <c r="J12" s="394">
        <f>IF(ISNUMBER((Tasas!D12-Datos!BF12)/Datos!BF12),(Tasas!D12-Datos!BF12)/Datos!BF12," - ")</f>
        <v>2.0263132622683231E-2</v>
      </c>
      <c r="K12" s="396">
        <f>IF(ISNUMBER((Tasas!E12-Datos!BG12)/Datos!BG12),(Tasas!E12-Datos!BG12)/Datos!BG12," - ")</f>
        <v>-0.19968737788198521</v>
      </c>
      <c r="M12" t="e">
        <f>IF(Monitorios="SI",Datos!CE12,0)</f>
        <v>#REF!</v>
      </c>
      <c r="N12" t="e">
        <f>IF(Monitorios="SI",Datos!CF12,0)</f>
        <v>#REF!</v>
      </c>
      <c r="O12" t="e">
        <f>IF(Monitorios="SI",Datos!CG12,0)</f>
        <v>#REF!</v>
      </c>
      <c r="P12" t="e">
        <f>IF(Monitorios="SI",Datos!CH12,0)</f>
        <v>#REF!</v>
      </c>
      <c r="Q12">
        <f>IF(J_V="SI",0,Datos!AG12)</f>
        <v>28</v>
      </c>
      <c r="R12">
        <f>IF(J_V="SI",0,Datos!AH12)</f>
        <v>47</v>
      </c>
      <c r="S12">
        <f>IF(J_V="SI",0,Datos!AI12)</f>
        <v>45</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0.40677966101694918</v>
      </c>
      <c r="I14" s="402">
        <f>IF(ISNUMBER((Tasas!C14-Datos!BE14)/Datos!BE14),(Tasas!C14-Datos!BE14)/Datos!BE14," - ")</f>
        <v>-0.2854111220058832</v>
      </c>
      <c r="J14" s="400">
        <f>IF(ISNUMBER((Tasas!D14-Datos!BF14)/Datos!BF14),(Tasas!D14-Datos!BF14)/Datos!BF14," - ")</f>
        <v>4.2843691148776739E-3</v>
      </c>
      <c r="K14" s="403">
        <f>IF(ISNUMBER((Tasas!E14-Datos!BG14)/Datos!BG14),(Tasas!E14-Datos!BG14)/Datos!BG14," - ")</f>
        <v>-0.20031755082779501</v>
      </c>
      <c r="M14" t="e">
        <f>IF(Monitorios="SI",Datos!CE14,0)</f>
        <v>#REF!</v>
      </c>
      <c r="N14" t="e">
        <f>IF(Monitorios="SI",Datos!CF14,0)</f>
        <v>#REF!</v>
      </c>
      <c r="O14" t="e">
        <f>IF(Monitorios="SI",Datos!CG14,0)</f>
        <v>#REF!</v>
      </c>
      <c r="P14" t="e">
        <f>IF(Monitorios="SI",Datos!CH14,0)</f>
        <v>#REF!</v>
      </c>
      <c r="Q14">
        <f>IF(J_V="SI",0,Datos!AG14)</f>
        <v>28</v>
      </c>
      <c r="R14">
        <f>IF(J_V="SI",0,Datos!AH14)</f>
        <v>47</v>
      </c>
      <c r="S14">
        <f>IF(J_V="SI",0,Datos!AI14)</f>
        <v>45</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-0.32409972299168976</v>
      </c>
      <c r="E17" s="393">
        <f>IF(ISNUMBER(
   IF(D_I="SI",(Datos!J17-Datos!T17)/Datos!T17,(Datos!J17+Datos!AD17-(Datos!T17+Datos!AL17))/(Datos!T17+Datos!AL17))
     ),IF(D_I="SI",(Datos!J17-Datos!T17)/Datos!T17,(Datos!J17+Datos!AD17-(Datos!T17+Datos!AL17))/(Datos!T17+Datos!AL17))," - ")</f>
        <v>3.2258064516129031E-2</v>
      </c>
      <c r="F17" s="393">
        <f>IF(ISNUMBER(
   IF(D_I="SI",(Datos!K17-Datos!U17)/Datos!U17,(Datos!K17+Datos!AE17-(Datos!U17+Datos!AM17))/(Datos!U17+Datos!AM17))
     ),IF(D_I="SI",(Datos!K17-Datos!U17)/Datos!U17,(Datos!K17+Datos!AE17-(Datos!U17+Datos!AM17))/(Datos!U17+Datos!AM17))," - ")</f>
        <v>-0.30303030303030304</v>
      </c>
      <c r="G17" s="394">
        <f>IF(ISNUMBER(
   IF(D_I="SI",(Datos!L17-Datos!V17)/Datos!V17,(Datos!L17+Datos!AF17-(Datos!V17+Datos!AN17))/(Datos!V17+Datos!AN17))
     ),IF(D_I="SI",(Datos!L17-Datos!V17)/Datos!V17,(Datos!L17+Datos!AF17-(Datos!V17+Datos!AN17))/(Datos!V17+Datos!AN17))," - ")</f>
        <v>-8.8339222614840993E-2</v>
      </c>
      <c r="H17" s="244">
        <f>IF(ISNUMBER((Datos!M17-Datos!W17)/Datos!W17),(Datos!M17-Datos!W17)/Datos!W17," - ")</f>
        <v>-0.22448979591836735</v>
      </c>
      <c r="I17" s="395">
        <f>IF(ISNUMBER((Tasas!C17-Datos!BE17)/Datos!BE17),(Tasas!C17-Datos!BE17)/Datos!BE17," - ")</f>
        <v>0.30803502842218461</v>
      </c>
      <c r="J17" s="394">
        <f>IF(ISNUMBER((Tasas!D17-Datos!BF17)/Datos!BF17),(Tasas!D17-Datos!BF17)/Datos!BF17," - ")</f>
        <v>0.1126885536823425</v>
      </c>
      <c r="K17" s="396">
        <f>IF(ISNUMBER((Tasas!E17-Datos!BG17)/Datos!BG17),(Tasas!E17-Datos!BG17)/Datos!BG17," - ")</f>
        <v>0.14362928225101346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-5.128205128205128E-2</v>
      </c>
      <c r="E18" s="393">
        <f>IF(ISNUMBER(
   IF(D_I="SI",(Datos!J18-Datos!T18)/Datos!T18,(Datos!J18+Datos!AD18-(Datos!T18+Datos!AL18))/(Datos!T18+Datos!AL18))
     ),IF(D_I="SI",(Datos!J18-Datos!T18)/Datos!T18,(Datos!J18+Datos!AD18-(Datos!T18+Datos!AL18))/(Datos!T18+Datos!AL18))," - ")</f>
        <v>0.6470588235294118</v>
      </c>
      <c r="F18" s="393">
        <f>IF(ISNUMBER(
   IF(D_I="SI",(Datos!K18-Datos!U18)/Datos!U18,(Datos!K18+Datos!AE18-(Datos!U18+Datos!AM18))/(Datos!U18+Datos!AM18))
     ),IF(D_I="SI",(Datos!K18-Datos!U18)/Datos!U18,(Datos!K18+Datos!AE18-(Datos!U18+Datos!AM18))/(Datos!U18+Datos!AM18))," - ")</f>
        <v>0.84210526315789469</v>
      </c>
      <c r="G18" s="394">
        <f>IF(ISNUMBER(
   IF(D_I="SI",(Datos!L18-Datos!V18)/Datos!V18,(Datos!L18+Datos!AF18-(Datos!V18+Datos!AN18))/(Datos!V18+Datos!AN18))
     ),IF(D_I="SI",(Datos!L18-Datos!V18)/Datos!V18,(Datos!L18+Datos!AF18-(Datos!V18+Datos!AN18))/(Datos!V18+Datos!AN18))," - ")</f>
        <v>-0.1891891891891892</v>
      </c>
      <c r="H18" s="244">
        <f>IF(ISNUMBER((Datos!M18-Datos!W18)/Datos!W18),(Datos!M18-Datos!W18)/Datos!W18," - ")</f>
        <v>4</v>
      </c>
      <c r="I18" s="395">
        <f>IF(ISNUMBER((Tasas!C18-Datos!BE18)/Datos!BE18),(Tasas!C18-Datos!BE18)/Datos!BE18," - ")</f>
        <v>-0.55984555984555995</v>
      </c>
      <c r="J18" s="394">
        <f>IF(ISNUMBER((Tasas!D18-Datos!BF18)/Datos!BF18),(Tasas!D18-Datos!BF18)/Datos!BF18," - ")</f>
        <v>1.7142857142857142</v>
      </c>
      <c r="K18" s="396">
        <f>IF(ISNUMBER((Tasas!E18-Datos!BG18)/Datos!BG18),(Tasas!E18-Datos!BG18)/Datos!BG18," - ")</f>
        <v>-0.36989795918367341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-0.29749999999999999</v>
      </c>
      <c r="E23" s="399">
        <f>IF(ISNUMBER(
   IF(D_I="SI",(Datos!J23-Datos!T23)/Datos!T23,(Datos!J23+Datos!AD23-(Datos!T23+Datos!AL23))/(Datos!T23+Datos!AL23))
     ),IF(D_I="SI",(Datos!J23-Datos!T23)/Datos!T23,(Datos!J23+Datos!AD23-(Datos!T23+Datos!AL23))/(Datos!T23+Datos!AL23))," - ")</f>
        <v>8.3743842364532015E-2</v>
      </c>
      <c r="F23" s="399">
        <f>IF(ISNUMBER(
   IF(D_I="SI",(Datos!K23-Datos!U23)/Datos!U23,(Datos!K23+Datos!AE23-(Datos!U23+Datos!AM23))/(Datos!U23+Datos!AM23))
     ),IF(D_I="SI",(Datos!K23-Datos!U23)/Datos!U23,(Datos!K23+Datos!AE23-(Datos!U23+Datos!AM23))/(Datos!U23+Datos!AM23))," - ")</f>
        <v>-0.22614840989399293</v>
      </c>
      <c r="G23" s="400">
        <f>IF(ISNUMBER(
   IF(D_I="SI",(Datos!L23-Datos!V23)/Datos!V23,(Datos!L23+Datos!AF23-(Datos!V23+Datos!AN23))/(Datos!V23+Datos!AN23))
     ),IF(D_I="SI",(Datos!L23-Datos!V23)/Datos!V23,(Datos!L23+Datos!AF23-(Datos!V23+Datos!AN23))/(Datos!V23+Datos!AN23))," - ")</f>
        <v>-0.1</v>
      </c>
      <c r="H23" s="401">
        <f>IF(ISNUMBER((Datos!M23-Datos!W23)/Datos!W23),(Datos!M23-Datos!W23)/Datos!W23," - ")</f>
        <v>-0.14000000000000001</v>
      </c>
      <c r="I23" s="402">
        <f>IF(ISNUMBER((Tasas!C23-Datos!BE23)/Datos!BE23),(Tasas!C23-Datos!BE23)/Datos!BE23," - ")</f>
        <v>0.16301369863013687</v>
      </c>
      <c r="J23" s="400">
        <f>IF(ISNUMBER((Tasas!D23-Datos!BF23)/Datos!BF23),(Tasas!D23-Datos!BF23)/Datos!BF23," - ")</f>
        <v>0.11132420091324191</v>
      </c>
      <c r="K23" s="403">
        <f>IF(ISNUMBER((Tasas!E23-Datos!BG23)/Datos!BG23),(Tasas!E23-Datos!BG23)/Datos!BG23," - ")</f>
        <v>7.3650014766350788E-2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-0.25952626158599384</v>
      </c>
      <c r="E31" s="409">
        <f>IF(ISNUMBER(
   IF(J_V="SI",(Datos!J31-Datos!T31)/Datos!T31,(Datos!J31+Datos!Z31-(Datos!T31+Datos!AH31))/(Datos!T31+Datos!AH31))
     ),IF(J_V="SI",(Datos!J31-Datos!T31)/Datos!T31,(Datos!J31+Datos!Z31-(Datos!T31+Datos!AH31))/(Datos!T31+Datos!AH31))," - ")</f>
        <v>-0.15991902834008098</v>
      </c>
      <c r="F31" s="409">
        <f>IF(ISNUMBER(
   IF(J_V="SI",(Datos!K31-Datos!U31)/Datos!U31,(Datos!K31+Datos!AA31-(Datos!U31+Datos!AI31))/(Datos!U31+Datos!AI31))
     ),IF(J_V="SI",(Datos!K31-Datos!U31)/Datos!U31,(Datos!K31+Datos!AA31-(Datos!U31+Datos!AI31))/(Datos!U31+Datos!AI31))," - ")</f>
        <v>-0.15740740740740741</v>
      </c>
      <c r="G31" s="410">
        <f>IF(ISNUMBER(
   IF(J_V="SI",(Datos!L31-Datos!V31)/Datos!V31,(Datos!L31+Datos!AB31-(Datos!V31+Datos!AJ31))/(Datos!V31+Datos!AJ31))
     ),IF(J_V="SI",(Datos!L31-Datos!V31)/Datos!V31,(Datos!L31+Datos!AB31-(Datos!V31+Datos!AJ31))/(Datos!V31+Datos!AJ31))," - ")</f>
        <v>-0.25945945945945947</v>
      </c>
      <c r="H31" s="411">
        <f>IF(ISNUMBER((Datos!M31-Datos!W31)/Datos!W31),(Datos!M31-Datos!W31)/Datos!W31," - ")</f>
        <v>0.15596330275229359</v>
      </c>
      <c r="I31" s="408">
        <f>IF(ISNUMBER((Tasas!C31-Datos!BE31)/Datos!BE31),(Tasas!C31-Datos!BE31)/Datos!BE31," - ")</f>
        <v>-0.12111672111672116</v>
      </c>
      <c r="J31" s="409">
        <f>IF(ISNUMBER((Tasas!D31-Datos!BF31)/Datos!BF31),(Tasas!D31-Datos!BF31)/Datos!BF31," - ")</f>
        <v>6.8131868131868251E-2</v>
      </c>
      <c r="K31" s="410">
        <f>IF(ISNUMBER((Tasas!E31-Datos!BG31)/Datos!BG31),(Tasas!E31-Datos!BG31)/Datos!BG31," - ")</f>
        <v>-8.1333683381464891E-2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0.12615349226688821</v>
      </c>
      <c r="E33" s="303">
        <f t="shared" si="1"/>
        <v>0.28126491683448829</v>
      </c>
      <c r="F33" s="303">
        <f t="shared" si="1"/>
        <v>0.68827506868338895</v>
      </c>
      <c r="G33" s="304">
        <f t="shared" si="1"/>
        <v>4.504688813035819E-2</v>
      </c>
      <c r="H33" s="310">
        <f t="shared" si="1"/>
        <v>1.7555963326182122</v>
      </c>
      <c r="I33" s="302">
        <f t="shared" si="1"/>
        <v>0.36476473581310825</v>
      </c>
      <c r="J33" s="303">
        <f t="shared" si="1"/>
        <v>0.87290139052285165</v>
      </c>
      <c r="K33" s="304">
        <f t="shared" si="1"/>
        <v>0.24827845723977812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ENOAn7PW7fadSOMxq2crHKVihgNEv0szhqeKEGcQyyz7bQjXo/qev65sBQUUGX9TJ8+9JDY7vUQlB6ocHb55w==" saltValue="zuYSvrA8+XMTUsnLEWxX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